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tabRatio="919" activeTab="1"/>
  </bookViews>
  <sheets>
    <sheet name="DADOS" sheetId="1" r:id="rId1"/>
    <sheet name="ORÇAMENTO RESUMIDO" sheetId="2" r:id="rId2"/>
    <sheet name="CRON.GLOBAL 4M" sheetId="3" state="hidden" r:id="rId3"/>
    <sheet name="CRON.GLOBAL 8M " sheetId="4" r:id="rId4"/>
    <sheet name="ORÇAMENTO GLOBAL" sheetId="5" r:id="rId5"/>
    <sheet name="COMPOSIÇÕES" sheetId="6" r:id="rId6"/>
    <sheet name="MECALC RADIER" sheetId="7" r:id="rId7"/>
  </sheets>
  <definedNames>
    <definedName name="_xlnm.Print_Area" localSheetId="5">'COMPOSIÇÕES'!$B$1:$J$155</definedName>
    <definedName name="_xlnm.Print_Area" localSheetId="2">'CRON.GLOBAL 4M'!$A$1:$J$30</definedName>
    <definedName name="_xlnm.Print_Area" localSheetId="3">'CRON.GLOBAL 8M '!$A$1:$N$30</definedName>
    <definedName name="_xlnm.Print_Area" localSheetId="0">'DADOS'!$A$1:$E$10</definedName>
    <definedName name="_xlnm.Print_Area" localSheetId="6">'MECALC RADIER'!$A$1:$L$169</definedName>
    <definedName name="_xlnm.Print_Area" localSheetId="4">'ORÇAMENTO GLOBAL'!$C$1:$K$71</definedName>
    <definedName name="_xlnm.Print_Area" localSheetId="1">'ORÇAMENTO RESUMIDO'!$A$1:$E$29</definedName>
    <definedName name="_xlnm.Print_Titles" localSheetId="5">'COMPOSIÇÕES'!$9:$12</definedName>
    <definedName name="_xlnm.Print_Titles" localSheetId="4">'ORÇAMENTO GLOBAL'!$1:$12</definedName>
  </definedNames>
  <calcPr fullCalcOnLoad="1"/>
</workbook>
</file>

<file path=xl/sharedStrings.xml><?xml version="1.0" encoding="utf-8"?>
<sst xmlns="http://schemas.openxmlformats.org/spreadsheetml/2006/main" count="925" uniqueCount="444">
  <si>
    <t>m²</t>
  </si>
  <si>
    <t>UNITÁRIO</t>
  </si>
  <si>
    <t>m³</t>
  </si>
  <si>
    <t>TOTAL</t>
  </si>
  <si>
    <t>1.01</t>
  </si>
  <si>
    <t>2.01</t>
  </si>
  <si>
    <t>3.01</t>
  </si>
  <si>
    <t>ALVENARIA DE ELEVAÇÃO</t>
  </si>
  <si>
    <t>INSTALAÇÃO HIDRÁULICA</t>
  </si>
  <si>
    <t>INSTALAÇÃO SANITÁRIA</t>
  </si>
  <si>
    <t>LIMPEZA GERAL</t>
  </si>
  <si>
    <t>kg</t>
  </si>
  <si>
    <t>m</t>
  </si>
  <si>
    <t>Cidade:</t>
  </si>
  <si>
    <t>Obra:</t>
  </si>
  <si>
    <t>Total</t>
  </si>
  <si>
    <t>ITEM</t>
  </si>
  <si>
    <t>UN</t>
  </si>
  <si>
    <t xml:space="preserve"> * sapata corrida</t>
  </si>
  <si>
    <t>1f 6.0mm</t>
  </si>
  <si>
    <t>contrapiso</t>
  </si>
  <si>
    <t>aterro</t>
  </si>
  <si>
    <t>canaleta</t>
  </si>
  <si>
    <t>reaterro</t>
  </si>
  <si>
    <t>terra natural</t>
  </si>
  <si>
    <t>Escavação manual</t>
  </si>
  <si>
    <t>X</t>
  </si>
  <si>
    <t>Apiloamento</t>
  </si>
  <si>
    <t>2.03</t>
  </si>
  <si>
    <t>Reaterro      (</t>
  </si>
  <si>
    <t>2.04</t>
  </si>
  <si>
    <t>Área do contrapiso =</t>
  </si>
  <si>
    <t>x</t>
  </si>
  <si>
    <t>Bloco de concreto</t>
  </si>
  <si>
    <t>Canaleta de concreto</t>
  </si>
  <si>
    <t>(sapata tot)</t>
  </si>
  <si>
    <t>=</t>
  </si>
  <si>
    <t>e lançamento</t>
  </si>
  <si>
    <t>(canaleta)</t>
  </si>
  <si>
    <t>Ferro (Aço CA 60/50)</t>
  </si>
  <si>
    <t>6.0</t>
  </si>
  <si>
    <t>kg/m  =</t>
  </si>
  <si>
    <t>Pintura neutrol</t>
  </si>
  <si>
    <t>)</t>
  </si>
  <si>
    <t>* Paredes :</t>
  </si>
  <si>
    <t>+</t>
  </si>
  <si>
    <t>%</t>
  </si>
  <si>
    <t xml:space="preserve">RESPONSÁVEL TÉCNICO </t>
  </si>
  <si>
    <t>DATA:</t>
  </si>
  <si>
    <t>Data:</t>
  </si>
  <si>
    <t>Quant.</t>
  </si>
  <si>
    <t>ORÇAMENTO DETALHADO</t>
  </si>
  <si>
    <t>ORÇAMENTO RESUMIDO</t>
  </si>
  <si>
    <t>data base:</t>
  </si>
  <si>
    <t xml:space="preserve">                                        </t>
  </si>
  <si>
    <t>ÁREA:</t>
  </si>
  <si>
    <t>DISCRIMINAÇAO</t>
  </si>
  <si>
    <t>VALOR DO SERVIÇO</t>
  </si>
  <si>
    <t>TOTAL DO DESEMBOLSO MENSAL</t>
  </si>
  <si>
    <t>DESEMBOLSO ACUMULADO</t>
  </si>
  <si>
    <t>PERCENTUAL MENSAL</t>
  </si>
  <si>
    <t>PERCENTUAL ACUMULADO</t>
  </si>
  <si>
    <t>BDI</t>
  </si>
  <si>
    <t>Quant:</t>
  </si>
  <si>
    <t>UNIDADES</t>
  </si>
  <si>
    <t>42,56 m²</t>
  </si>
  <si>
    <t>FUNDAÇÕES E CONTENÇÕES</t>
  </si>
  <si>
    <t>AGEHAB.0037</t>
  </si>
  <si>
    <t>AGEHAB.0014</t>
  </si>
  <si>
    <t>ALVENARIA DE VEDAÇÃO DE BLOCOS CERÂMICOS FURADOS NA HORIZONTAL DE 9X19X19CM (ESPESSURA 9CM), ARGAMASSA DE ASSENTAMENTO COM PREPARO EM BETONEIRA</t>
  </si>
  <si>
    <t>AGEHAB.0023</t>
  </si>
  <si>
    <t>89366</t>
  </si>
  <si>
    <t>89446</t>
  </si>
  <si>
    <t>89481</t>
  </si>
  <si>
    <t>89711</t>
  </si>
  <si>
    <t>89712</t>
  </si>
  <si>
    <t>89714</t>
  </si>
  <si>
    <t>89724</t>
  </si>
  <si>
    <t>89731</t>
  </si>
  <si>
    <t>89744</t>
  </si>
  <si>
    <t>89726</t>
  </si>
  <si>
    <t>89707</t>
  </si>
  <si>
    <t>AGEHAB.0062</t>
  </si>
  <si>
    <t>REATERRO MANUAL SEM APILOAMENTO</t>
  </si>
  <si>
    <t>AGEHAB.0031</t>
  </si>
  <si>
    <t>89827</t>
  </si>
  <si>
    <t>2.05</t>
  </si>
  <si>
    <t>2.06</t>
  </si>
  <si>
    <t>2.07</t>
  </si>
  <si>
    <t>05.01</t>
  </si>
  <si>
    <t>05.02</t>
  </si>
  <si>
    <t>05.03</t>
  </si>
  <si>
    <t>05.04</t>
  </si>
  <si>
    <t>05.05</t>
  </si>
  <si>
    <t>06.01</t>
  </si>
  <si>
    <t>06.02</t>
  </si>
  <si>
    <r>
      <rPr>
        <b/>
        <sz val="16"/>
        <rFont val="Arial"/>
        <family val="2"/>
      </rPr>
      <t>MEMÓRIA DE CÁLCULO</t>
    </r>
    <r>
      <rPr>
        <b/>
        <sz val="18"/>
        <rFont val="Arial"/>
        <family val="2"/>
      </rPr>
      <t xml:space="preserve"> - </t>
    </r>
    <r>
      <rPr>
        <b/>
        <sz val="18"/>
        <color indexed="10"/>
        <rFont val="Arial"/>
        <family val="2"/>
      </rPr>
      <t>FUNDAÇÃO TIPO RADIER</t>
    </r>
  </si>
  <si>
    <t>SERVIÇOS PRELIMINARES E GERAIS</t>
  </si>
  <si>
    <t>1.0</t>
  </si>
  <si>
    <t>Locação da obra</t>
  </si>
  <si>
    <t>INCLUSIVE A CALÇADA</t>
  </si>
  <si>
    <t xml:space="preserve">m²   </t>
  </si>
  <si>
    <t>INFRA ESTRUTURA TIPO VIGA E SAPATA</t>
  </si>
  <si>
    <t>2.1</t>
  </si>
  <si>
    <t>Trabalhos em terra</t>
  </si>
  <si>
    <t>2.1.1</t>
  </si>
  <si>
    <t>Locação convencional de obra, atravé de gabarito de tábuas</t>
  </si>
  <si>
    <t>3,22+2,55+2,92+2,92+2,92+2,70+7,22+4,45+2,10+2,80+0,15+8,00</t>
  </si>
  <si>
    <t xml:space="preserve"> * sapata (70X55X25cm)</t>
  </si>
  <si>
    <t xml:space="preserve"> * cinta (12X30 cm)</t>
  </si>
  <si>
    <t>2.1.2</t>
  </si>
  <si>
    <t>cinta (12x30cm)</t>
  </si>
  <si>
    <t>sapata (70X55X25cm)</t>
  </si>
  <si>
    <t>2.1.3</t>
  </si>
  <si>
    <t>2.1.4</t>
  </si>
  <si>
    <t>)  +  (</t>
  </si>
  <si>
    <t>2.1.5</t>
  </si>
  <si>
    <t>Aterro com com terra disponivel (fossa/sumidouro)</t>
  </si>
  <si>
    <t>FOSSA =</t>
  </si>
  <si>
    <t>V =</t>
  </si>
  <si>
    <t>π x d² x</t>
  </si>
  <si>
    <t>d=1,30m (externo)</t>
  </si>
  <si>
    <t>SUMID.</t>
  </si>
  <si>
    <t>d=1,100m  (externo)</t>
  </si>
  <si>
    <t>Terra semi-compactada</t>
  </si>
  <si>
    <t xml:space="preserve">Terra compac(retir. Fos/sumid) </t>
  </si>
  <si>
    <t>Aterro compactado ( -15%) =</t>
  </si>
  <si>
    <t>m³ (-15%) =</t>
  </si>
  <si>
    <t>m³  -</t>
  </si>
  <si>
    <t>2.2</t>
  </si>
  <si>
    <t>Fundações</t>
  </si>
  <si>
    <t>(sapata)</t>
  </si>
  <si>
    <t>(viga baldrame)</t>
  </si>
  <si>
    <t>2.2.1</t>
  </si>
  <si>
    <r>
      <t>Conc.</t>
    </r>
    <r>
      <rPr>
        <sz val="8"/>
        <rFont val="Arial"/>
        <family val="2"/>
      </rPr>
      <t>fck=200 Kg/cm²</t>
    </r>
  </si>
  <si>
    <t>2.2.2</t>
  </si>
  <si>
    <t>Lançamento do concreto</t>
  </si>
  <si>
    <t>2.2.3</t>
  </si>
  <si>
    <t>Armadura  CA-50</t>
  </si>
  <si>
    <t>2.2.4</t>
  </si>
  <si>
    <t>Armadura  CA-60</t>
  </si>
  <si>
    <t>2.2.5</t>
  </si>
  <si>
    <t>Forma</t>
  </si>
  <si>
    <t>2.2.6</t>
  </si>
  <si>
    <t>X  (</t>
  </si>
  <si>
    <t>)   =</t>
  </si>
  <si>
    <t>INFRA ESTRUTURA TIPO SAPATA CORRIDA</t>
  </si>
  <si>
    <t>bloco</t>
  </si>
  <si>
    <t>sapata corrida</t>
  </si>
  <si>
    <t>terr natural</t>
  </si>
  <si>
    <t>brita</t>
  </si>
  <si>
    <t>Terra compac(retir. Fos/sumid) para calçada</t>
  </si>
  <si>
    <t>conforme prancha 1 (planta baixa)</t>
  </si>
  <si>
    <t>Perimetro =</t>
  </si>
  <si>
    <t>2,92+2,40+2,92+2,92+5,44+8,15+2,92+3,04+1,80+7,88</t>
  </si>
  <si>
    <t>m  x</t>
  </si>
  <si>
    <r>
      <t>Tela sold.</t>
    </r>
    <r>
      <rPr>
        <sz val="8"/>
        <rFont val="Arial"/>
        <family val="2"/>
      </rPr>
      <t>Q138 4,2mm 10x10</t>
    </r>
  </si>
  <si>
    <t xml:space="preserve">Armadura no alicerce da canaleta - CA-60B 6,00mm </t>
  </si>
  <si>
    <t>D=</t>
  </si>
  <si>
    <t>conforme detalhe prancha 17</t>
  </si>
  <si>
    <t>7.76</t>
  </si>
  <si>
    <t>Ferro 6.0</t>
  </si>
  <si>
    <t>2.2.7</t>
  </si>
  <si>
    <t>Lastro de Brita</t>
  </si>
  <si>
    <t>2.2.8</t>
  </si>
  <si>
    <t>2.2.9</t>
  </si>
  <si>
    <t>Impermeab. Rígida c/ arg.</t>
  </si>
  <si>
    <t>Limpeza do terreno (Desmatamento, retirada de entulho e etc.)</t>
  </si>
  <si>
    <t>grama</t>
  </si>
  <si>
    <t>Aterro</t>
  </si>
  <si>
    <t>Aterro = (Área do contrapiso) x (altura) - (aterro com terra da obra)</t>
  </si>
  <si>
    <t>Escavações mecânicas (radier)</t>
  </si>
  <si>
    <t xml:space="preserve">m² </t>
  </si>
  <si>
    <t>Escavações manuais</t>
  </si>
  <si>
    <t>altura</t>
  </si>
  <si>
    <t>largura</t>
  </si>
  <si>
    <t>Borda do Radier</t>
  </si>
  <si>
    <t>m     x</t>
  </si>
  <si>
    <t>m   x</t>
  </si>
  <si>
    <t>borda</t>
  </si>
  <si>
    <t>4,39+2,95+2,95+4,39+8,62+0,40+0,62+7,40 =</t>
  </si>
  <si>
    <t>Terra semi-compac</t>
  </si>
  <si>
    <t>2.1.6</t>
  </si>
  <si>
    <t>Reaterro</t>
  </si>
  <si>
    <t>6,97+6,97+10,85+10,85</t>
  </si>
  <si>
    <t>Radier da casa</t>
  </si>
  <si>
    <t>m²    x</t>
  </si>
  <si>
    <t>2.3</t>
  </si>
  <si>
    <t xml:space="preserve">Compactação pé de carneiro </t>
  </si>
  <si>
    <t>m²   x</t>
  </si>
  <si>
    <t>radier</t>
  </si>
  <si>
    <t>(4,39* 8,82)+(2,85*7,60) =</t>
  </si>
  <si>
    <t>a metade fica para cima</t>
  </si>
  <si>
    <t>(Incluindo controle tecnológico)</t>
  </si>
  <si>
    <t>2.4</t>
  </si>
  <si>
    <t xml:space="preserve"> Lona plástica </t>
  </si>
  <si>
    <t>(transpasse está na composição)</t>
  </si>
  <si>
    <t>2.5</t>
  </si>
  <si>
    <t>(</t>
  </si>
  <si>
    <t xml:space="preserve">)   </t>
  </si>
  <si>
    <t>kg/m²  )</t>
  </si>
  <si>
    <t>transpasse</t>
  </si>
  <si>
    <t>((3*2,2)*0,3)+(7,6*0,3) =</t>
  </si>
  <si>
    <t>2.6</t>
  </si>
  <si>
    <t>Forma p/ radier</t>
  </si>
  <si>
    <t>2.7</t>
  </si>
  <si>
    <t>Concreto Estrutural FCK = 20 MPA -</t>
  </si>
  <si>
    <t>2.8</t>
  </si>
  <si>
    <t>Lançamento / aplicação de concreto em fund.</t>
  </si>
  <si>
    <t>* Radier casa</t>
  </si>
  <si>
    <t>* Borda radier</t>
  </si>
  <si>
    <t>2.9</t>
  </si>
  <si>
    <t>Impermeabilizante para o concreto do radier</t>
  </si>
  <si>
    <t>ALVENARIA PARA MARCAÇÃO 1º FIADA</t>
  </si>
  <si>
    <t xml:space="preserve"> 1º FIADA</t>
  </si>
  <si>
    <t>descontando todos os vãos</t>
  </si>
  <si>
    <t>m x 0,20m</t>
  </si>
  <si>
    <t>Comp.da parede</t>
  </si>
  <si>
    <t>3,19+2,72+5,78+0,90+2,03+2,72+3,19+7,36+1,80+4,43+2,80+6,40</t>
  </si>
  <si>
    <t>DESCRIÇÃO DOS SERVIÇOS</t>
  </si>
  <si>
    <t>UNID.</t>
  </si>
  <si>
    <t>QUANT.</t>
  </si>
  <si>
    <t>PREÇOS</t>
  </si>
  <si>
    <t>CRONOGRAMA FÍSICO-FINANCEIRO  (GLOBAL)</t>
  </si>
  <si>
    <t>Loteamento:</t>
  </si>
  <si>
    <t>BASE PARA LOTES URBANIZADOS - RADIER</t>
  </si>
  <si>
    <t>Ìndice BDI:</t>
  </si>
  <si>
    <t>REFER.:</t>
  </si>
  <si>
    <t>1.02</t>
  </si>
  <si>
    <t>1.03</t>
  </si>
  <si>
    <t>1.04</t>
  </si>
  <si>
    <t>1.05</t>
  </si>
  <si>
    <t>1.06</t>
  </si>
  <si>
    <t>INSTALAÇÃO/LIGAÇÃO PROVISÓRIA DE ENERGIA ELÉTRICA DE BAIXA TENSÃO</t>
  </si>
  <si>
    <t>ADMINISTRAÇÃO LOCAL (ENGENHEIRO, MESTRE, ETC)</t>
  </si>
  <si>
    <t>SERVIÇOS PRELIMINARES/CANTEIRO DE OBRA</t>
  </si>
  <si>
    <t>AGEHAB.0072</t>
  </si>
  <si>
    <t>AGEHAB.0070</t>
  </si>
  <si>
    <t>04.01</t>
  </si>
  <si>
    <t>04.02</t>
  </si>
  <si>
    <t>04.03</t>
  </si>
  <si>
    <t>04.04</t>
  </si>
  <si>
    <t>04.05</t>
  </si>
  <si>
    <t>05.06</t>
  </si>
  <si>
    <t>05.07</t>
  </si>
  <si>
    <t>05.08</t>
  </si>
  <si>
    <t>05.09</t>
  </si>
  <si>
    <t>05.10</t>
  </si>
  <si>
    <t>05.11</t>
  </si>
  <si>
    <t>05.12</t>
  </si>
  <si>
    <t>05.13</t>
  </si>
  <si>
    <t>Local:</t>
  </si>
  <si>
    <t>COMPOSIÇÃO DE PREÇOS</t>
  </si>
  <si>
    <t xml:space="preserve">OBRA: </t>
  </si>
  <si>
    <t>MUNICÍPIO:</t>
  </si>
  <si>
    <t>M</t>
  </si>
  <si>
    <t>88262</t>
  </si>
  <si>
    <t>88267</t>
  </si>
  <si>
    <t>88309</t>
  </si>
  <si>
    <t>88316</t>
  </si>
  <si>
    <t>INSTALAÇÃO PROVISORIA DE ÁGUA E ESGOTO P/CANT OBRA</t>
  </si>
  <si>
    <t>88264</t>
  </si>
  <si>
    <t>88245</t>
  </si>
  <si>
    <t>87292</t>
  </si>
  <si>
    <t>ADAPTADOR DE COMPRESSAO EM POLIPROPILENO (PP), PARA TUBO EM PEAD, 20 MM X 3/4'', PARA LIGACAO PREDIAL DE AGUA (NTS 179)</t>
  </si>
  <si>
    <t>93358</t>
  </si>
  <si>
    <t>95240</t>
  </si>
  <si>
    <t>Armação tela Q196 (5.0):</t>
  </si>
  <si>
    <t>A=</t>
  </si>
  <si>
    <t>M2</t>
  </si>
  <si>
    <t>1.07</t>
  </si>
  <si>
    <t>2.02</t>
  </si>
  <si>
    <t>30</t>
  </si>
  <si>
    <t>60</t>
  </si>
  <si>
    <t>90</t>
  </si>
  <si>
    <t>120</t>
  </si>
  <si>
    <t>88248</t>
  </si>
  <si>
    <t>SINAPI / AGEHAB</t>
  </si>
  <si>
    <t>SUB-TOTAL 01</t>
  </si>
  <si>
    <t>SUB-TOTAL 02</t>
  </si>
  <si>
    <t>SUB-TOTAL 03</t>
  </si>
  <si>
    <t>SUB-TOTAL 04</t>
  </si>
  <si>
    <t>SUB-TOTAL 06</t>
  </si>
  <si>
    <t>AGEHAB.0003</t>
  </si>
  <si>
    <t>93584</t>
  </si>
  <si>
    <t>M3</t>
  </si>
  <si>
    <t>97083</t>
  </si>
  <si>
    <t>97086</t>
  </si>
  <si>
    <t>94962</t>
  </si>
  <si>
    <t>98102</t>
  </si>
  <si>
    <t>96995</t>
  </si>
  <si>
    <t>98519</t>
  </si>
  <si>
    <t>98504</t>
  </si>
  <si>
    <t xml:space="preserve">UN    </t>
  </si>
  <si>
    <t xml:space="preserve">KG    </t>
  </si>
  <si>
    <t>99814</t>
  </si>
  <si>
    <t xml:space="preserve">TOTAL DA OBRA . . . . . . . . . . . . . . . . . . . . . . . . . . . . . . . . . . . . . . . . . . . . . . . . . . . . . . . . .  . . . . . . . . . . . . . . . . . . . . . . . . . . . . . . . </t>
  </si>
  <si>
    <t>Valor Total:</t>
  </si>
  <si>
    <t>1 U.H.</t>
  </si>
  <si>
    <t>SEM BDI</t>
  </si>
  <si>
    <t>-----------------------</t>
  </si>
  <si>
    <t>DESCRIÇÃO COMPLETA</t>
  </si>
  <si>
    <t>UNID</t>
  </si>
  <si>
    <t>100576</t>
  </si>
  <si>
    <t>GB</t>
  </si>
  <si>
    <t>1</t>
  </si>
  <si>
    <t>2</t>
  </si>
  <si>
    <t>3</t>
  </si>
  <si>
    <t>4</t>
  </si>
  <si>
    <t>5</t>
  </si>
  <si>
    <t>6</t>
  </si>
  <si>
    <t>120 DIAS</t>
  </si>
  <si>
    <t>PLACA DE OBRA EM CHAPA DE ACO GALVANIZADO</t>
  </si>
  <si>
    <t>RAMAL PREDIAL EM TUBO PEAD 20MM - FORNECIMENTO, INSTALAÇÃO, ESCAVAÇÃO E REATERRO</t>
  </si>
  <si>
    <t>AGEHAB.0100</t>
  </si>
  <si>
    <t>AGEHAB.0102</t>
  </si>
  <si>
    <t>SINAPI Não Desonerado</t>
  </si>
  <si>
    <t>AGEHAB.0081</t>
  </si>
  <si>
    <t>JUNCAO SIMPLES PVC P/ ESG PREDIAL DN 100X50MM</t>
  </si>
  <si>
    <t>AGEHAB.0082</t>
  </si>
  <si>
    <t>AGEHAB.0001</t>
  </si>
  <si>
    <t>FOSSA SÉPTICA PRÉ-MOLDADA, Ø 1,20M, ALTURA 1,50M, C/ LASTRO DE CONCRETO</t>
  </si>
  <si>
    <t>AGEHAB.0002</t>
  </si>
  <si>
    <t>SUMIDOURO PRÉ-MOLDADO, Ø 1,00M, ALTURA 3,00M, PERFURADO A CADA 20CM.</t>
  </si>
  <si>
    <t>LOCACAO CONVENCIONAL DE OBRA, ATRAVÉS DE GABARITO DE TABUAS CORRIDAS PONTALETADAS, COM REAPROVEITAMENTO DE 3 VEZES.</t>
  </si>
  <si>
    <t>SUB-TOTAL 05.01</t>
  </si>
  <si>
    <t>05.14</t>
  </si>
  <si>
    <t>MIL</t>
  </si>
  <si>
    <t xml:space="preserve">M2    </t>
  </si>
  <si>
    <t xml:space="preserve">M     </t>
  </si>
  <si>
    <t>ADAPTADOR DE COMPRESSAO EM POLIPROPILENO (PP), PARA TUBO EM PEAD, 20 MM X 3/4", PARA LIGACAO PREDIAL DE AGUA (NTS 179)</t>
  </si>
  <si>
    <t xml:space="preserve">M3    </t>
  </si>
  <si>
    <t>ANEL BORRACHA PARA TUBO ESGOTO PREDIAL DN 50 MM (NBR 5688)</t>
  </si>
  <si>
    <t>ANEL BORRACHA PARA TUBO ESGOTO PREDIAL, DN 100 MM (NBR 5688)</t>
  </si>
  <si>
    <t>ANEL DE CONCRETO ARMADO, COM FUROS/DRENO PARA SUMIDOURO, D = 1,00 M, H = 0,50M</t>
  </si>
  <si>
    <t>ANEL EM CONCRETO ARMADO, LISO, PARA POCOS DE VISITA, POCOS DE INSPECAO, FOSSAS SEPTICAS E SUMIDOUROS, SEM FUNDO, DIAMETRO INTERNO DE 1,20 M E ALTURA DE 0,50 M</t>
  </si>
  <si>
    <t>ARAME RECOZIDO 16 BWG, D = 1,65 MM (0,016 KG/M) OU 18 BWG, D = 1,25 MM (0,01 KG/M)</t>
  </si>
  <si>
    <t>AREIA MEDIA - POSTO JAZIDA/FORNECEDOR (RETIRADO NA JAZIDA, SEM TRANSPORTE)</t>
  </si>
  <si>
    <t>BACIA SANITARIA (VASO) CONVENCIONAL DE LOUCA BRANCA</t>
  </si>
  <si>
    <t>BLOCO CERAMICO VAZADO PARA ALVENARIA DE VEDACAO, DE 9 X 19 X 19 CM (L X A X C)</t>
  </si>
  <si>
    <t>CABO DE COBRE, RIGIDO, CLASSE 2, ISOLACAO EM PVC/A, ANTICHAMA BWF-B, 1 CONDUTOR, 450/750 V, SECAO NOMINAL 6 MM2</t>
  </si>
  <si>
    <t>CAIXA D'AGUA EM POLIETILENO 500 LITROS, COM TAMPA</t>
  </si>
  <si>
    <t>CAIXA DE CONCRETO ARMADO PRE-MOLDADO, COM FUNDO E TAMPA, DIMENSOES DE 0,40 X 0,40 X 0,40 M</t>
  </si>
  <si>
    <t>CAIXA DE DESCARGA DE PLASTICO EXTERNA, DE *9* L, PUXADOR FIO DE NYLON, NAO INCLUSO CANO, BOLSA, ENGATE</t>
  </si>
  <si>
    <t>CAIXA INTERNA/EXTERNA DE MEDICAO PARA 1 MEDIDOR TRIFASICO, COM VISOR, EM CHAPA DE ACO 18 USG (PADRAO DA CONCESSIONARIA LOCAL)</t>
  </si>
  <si>
    <t>CIMENTO PORTLAND COMPOSTO CP II-32</t>
  </si>
  <si>
    <t>JOELHO PVC, SOLDAVEL, PB, 90 GRAUS, DN 100 MM, PARA ESGOTO PREDIAL</t>
  </si>
  <si>
    <t>JUNCAO SIMPLES, PVC, DN 100 X 50 MM, SERIE NORMAL PARA ESGOTO PREDIAL</t>
  </si>
  <si>
    <t>PASTA LUBRIFICANTE PARA TUBOS E CONEXOES COM JUNTA ELASTICA (USO EM PVC, ACO, POLIETILENO E OUTROS) ( DE *400* G)</t>
  </si>
  <si>
    <t>PEDRA BRITADA N. 2 (19 A 38 MM) POSTO PEDREIRA/FORNECEDOR, SEM FRETE</t>
  </si>
  <si>
    <t>PLACA DE OBRA (PARA CONSTRUCAO CIVIL) EM CHAPA GALVANIZADA *N. 22*, ADESIVADA, DE *2,0 X 1,125* M</t>
  </si>
  <si>
    <t>PONTALETE *7,5 X 7,5* CM EM PINUS, MISTA OU EQUIVALENTE DA REGIAO - BRUTA</t>
  </si>
  <si>
    <t>PONTALETE ROLIÇO SEM TRATAMENTO, D = 8 A 11 CM, H = 6 M, EM EUCALIPTO OU EQUIVALENTE DA REGIAO - BRUTA (PARA ESCORAMENTO)</t>
  </si>
  <si>
    <t>PREGO DE ACO POLIDO COM CABECA 15 X 15 (1 1/4 X 13)</t>
  </si>
  <si>
    <t>PREGO DE ACO POLIDO COM CABECA 18 X 27 (2 1/2 X 10)</t>
  </si>
  <si>
    <t>PREGO DE ACO POLIDO COM CABECA 18 X 30 (2 3/4 X 10)</t>
  </si>
  <si>
    <t>SARRAFO NAO APARELHADO *2,5 X 7* CM, EM MACARANDUBA, ANGELIM OU EQUIVALENTE DA REGIAO -  BRUTA</t>
  </si>
  <si>
    <t>TABUA *2,5 X 23* CM EM PINUS, MISTA OU EQUIVALENTE DA REGIAO - BRUTA</t>
  </si>
  <si>
    <t>TABUA NAO APARELHADA *2,5 X 30* CM, EM MACARANDUBA, ANGELIM OU EQUIVALENTE DA REGIAO - BRUTA</t>
  </si>
  <si>
    <t>TAMPA DE CONCRETO ARMADO PARA FOSSA, D = *1,10* M, E = 0,05 M</t>
  </si>
  <si>
    <t>TAMPA DE CONCRETO ARMADO PARA FOSSA, D = *1,35* M, E = 0,05 M</t>
  </si>
  <si>
    <t>TE SANITARIO, PVC, DN 100 X 100 MM, SERIE NORMAL, PARA ESGOTO PREDIAL</t>
  </si>
  <si>
    <t>TE SANITARIO, PVC, DN 100 X 50 MM, SERIE NORMAL, PARA ESGOTO PREDIAL</t>
  </si>
  <si>
    <t>TELA DE ACO SOLDADA NERVURADA, CA-60, Q-196, (3,11 KG/M2), DIAMETRO DO FIO = 5,0 MM, LARGURA = 2,45 M, ESPACAMENTO DA MALHA = 10 X 10 CM</t>
  </si>
  <si>
    <t>TIJOLO CERAMICO MACICO COMUM *5 X 10 X 20* CM (L X A X C)</t>
  </si>
  <si>
    <t>TUBO ACO GALVANIZADO COM COSTURA, CLASSE MEDIA, DN 2.1/2", E = *3,65* MM, PESO *6,51* KG/M (NBR 5580)</t>
  </si>
  <si>
    <t>TUBO DE POLIETILENO DE ALTA DENSIDADE (PEAD), PE-80, DE = 20 MM X 2,3 MM DE PAREDE, PARA LIGACAO DE AGUA PREDIAL (NBR 15561)</t>
  </si>
  <si>
    <t>TUBO PVC  SERIE NORMAL, DN 100 MM, PARA ESGOTO  PREDIAL (NBR 5688)</t>
  </si>
  <si>
    <t>TUBO PVC, SOLDAVEL, DN 25 MM, AGUA FRIA (NBR-5648)</t>
  </si>
  <si>
    <t>EXECUÇÃO DE DEPÓSITO EM CANTEIRO DE OBRA EM CHAPA DE MADEIRA COMPENSADA, NÃO INCLUSO MOBILIÁRIO. AF_04/2016</t>
  </si>
  <si>
    <t>H</t>
  </si>
  <si>
    <t>LASTRO DE CONCRETO MAGRO, APLICADO EM PISOS OU RADIERS, ESPESSURA DE 3 CM. AF_07/2016</t>
  </si>
  <si>
    <t>COMPACTAÇÃO MECÂNICA DE SOLO PARA EXECUÇÃO DE RADIER, COM COMPACTADOR DE SOLOS A PERCUSSÃO. AF_09/2017</t>
  </si>
  <si>
    <t>FABRICAÇÃO, MONTAGEM E DESMONTAGEM DE FORMA PARA RADIER, EM MADEIRA SERRADA, 4 UTILIZAÇÕES. AF_09/2017</t>
  </si>
  <si>
    <t>CONCRETO MAGRO PARA LASTRO, TRAÇO 1:4,5:4,5 (CIMENTO/ AREIA MÉDIA/ BRITA 1)  - PREPARO MECÂNICO COM BETONEIRA 400 L. AF_07/2016</t>
  </si>
  <si>
    <t>94964</t>
  </si>
  <si>
    <t>CONCRETO FCK = 20MPA, TRAÇO 1:2,7:3 (CIMENTO/ AREIA MÉDIA/ BRITA 1)  - PREPARO MECÂNICO COM BETONEIRA 400 L. AF_07/2016</t>
  </si>
  <si>
    <t>TUBO, PVC, SOLDÁVEL, DN 25MM, INSTALADO EM PRUMADA DE ÁGUA - FORNECIMENTO E INSTALAÇÃO. AF_12/2014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</si>
  <si>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</si>
  <si>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</si>
  <si>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100 MM, FORNECIDO E INSTALADO EM RAMAL DE DESCARGA OU RAMAL DE ESGOTO SANITÁRIO. AF_12/2014</t>
  </si>
  <si>
    <t>JOELHO 90 GRAUS COM BUCHA DE LATÃO, PVC, SOLDÁVEL, DN 25MM, X 3/4 INSTALADO EM RAMAL OU SUB-RAMAL DE ÁGUA - FORNECIMENTO E INSTALAÇÃO. AF_12/2014</t>
  </si>
  <si>
    <t>JOELHO 90 GRAUS, PVC, SOLDÁVEL, DN 25MM, INSTALADO EM PRUMADA DE ÁGUA - FORNECIMENTO E INSTALAÇÃO. AF_12/2014</t>
  </si>
  <si>
    <t>JOELHO 90 GRAUS, PVC, SERIE NORMAL, ESGOTO PREDIAL, DN 40 MM, JUNTA SOLDÁVEL,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</si>
  <si>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</si>
  <si>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50 MM, JUNTA ELÁSTICA,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</si>
  <si>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</si>
  <si>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JUNÇÃO SIMPLES, PVC, SERIE NORMAL, ESGOTO PREDIAL, DN 50 X 50 MM, JUNTA ELÁSTICA, FORNECIDO E INSTALADO EM PRUMADA DE ESGOTO SANITÁRIO OU VENTILAÇÃO. AF_12/2014</t>
  </si>
  <si>
    <t>CAIXA DE GORDURA SIMPLES, CIRCULAR, EM CONCRETO PRÉ-MOLDADO, DIÂMETRO INTERNO = 0,4 M, ALTURA INTERNA = 0,4 M. AF_12/2020</t>
  </si>
  <si>
    <t>CAIXA SIFONADA, PVC, DN 100 X 100 X 50 MM, JUNTA ELÁSTICA, FORNECIDA E INSTALADA EM RAMAL DE DESCARGA OU EM RAMAL DE ESGOTO SANITÁRIO. AF_12/2014</t>
  </si>
  <si>
    <t>ESCAVAÇÃO MANUAL DE VALA COM PROFUNDIDADE MENOR OU IGUAL A 1,30 M. AF_03/2016</t>
  </si>
  <si>
    <t>93382</t>
  </si>
  <si>
    <t>REATERRO MANUAL DE VALAS COM COMPACTAÇÃO MECANIZADA. AF_04/2016</t>
  </si>
  <si>
    <t>REATERRO MANUAL APILOADO COM SOQUETE. AF_10/2017</t>
  </si>
  <si>
    <t>REGULARIZAÇÃO E COMPACTAÇÃO DE SUBLEITO DE SOLO  PREDOMINANTEMENTE ARGILOSO. AF_11/2019</t>
  </si>
  <si>
    <t>97113</t>
  </si>
  <si>
    <t>APLICAÇÃO DE LONA PLÁSTICA PARA EXECUÇÃO DE PAVIMENTOS DE CONCRETO. AF_11/2017</t>
  </si>
  <si>
    <t>ARGAMASSA TRAÇO 1:2:8 (EM VOLUME DE CIMENTO, CAL E AREIA MÉDIA ÚMIDA) PARA EMBOÇO/MASSA ÚNICA/ASSENTAMENTO DE ALVENARIA DE VEDAÇÃO, PREPARO MECÂNICO COM BETONEIRA 400 L. AF_08/2019</t>
  </si>
  <si>
    <t>LIMPEZA DE SUPERFÍCIE COM JATO DE ALTA PRESSÃO. AF_04/2019</t>
  </si>
  <si>
    <t>REVOLVIMENTO E LIMPEZA MANUAL DE SOLO. AF_05/2018</t>
  </si>
  <si>
    <t>PLANTIO DE GRAMA EM PLACAS. AF_05/2018</t>
  </si>
  <si>
    <t>ARMADOR COM ENCARGOS COMPLEMENTARES</t>
  </si>
  <si>
    <t>AUXILIAR DE ENCANADOR OU BOMBEIRO HIDRÁULICO COM ENCARGOS COMPLEMENTARES</t>
  </si>
  <si>
    <t>CARPINTEIRO DE FORMAS COM ENCARGOS COMPLEMENTARES</t>
  </si>
  <si>
    <t>ELETRICISTA COM ENCARGOS COMPLEMENTARES</t>
  </si>
  <si>
    <t>ENCANADOR OU BOMBEIRO HIDRÁULICO COM ENCARGOS COMPLEMENTARES</t>
  </si>
  <si>
    <t>PEDREIRO COM ENCARGOS COMPLEMENTARES</t>
  </si>
  <si>
    <t>SERVENTE COM ENCARGOS COMPLEMENTARES</t>
  </si>
  <si>
    <t xml:space="preserve">UN </t>
  </si>
  <si>
    <t>ARMACAO EM TELA DE ACO SOLDADA NERVURADA Q-196, ACO CA-60, 5,0MM, MALHA 10X10CM</t>
  </si>
  <si>
    <t>REFERÊNCIA SINAPI/COTAÇÃO</t>
  </si>
  <si>
    <t>COEFICIENTE</t>
  </si>
  <si>
    <t>TOTAL DA COMPOSIÇÃO</t>
  </si>
  <si>
    <t>'TE SANITARIO, PVC, DN 100 X 50 MM, SÉRIE NORMAL, PARA ESGOTO PREDIAL</t>
  </si>
  <si>
    <t>05.15</t>
  </si>
  <si>
    <t>JAN / 2021</t>
  </si>
  <si>
    <t>BDI:</t>
  </si>
  <si>
    <t>CAIXA DE INSPEÇÃO SIMPLES EM CONCRETO PRE-MOLDADO COM TAMPA, DIMENSOES DE 0,40 X 0,40 X 0,40 M - FORNECIMENTO E INSTALACAO</t>
  </si>
  <si>
    <t>perímetro do anel em concreto x pela espessura 0,05</t>
  </si>
  <si>
    <t>permetro</t>
  </si>
  <si>
    <t>3,7699111843077518861551720599354‬</t>
  </si>
  <si>
    <t>espessura</t>
  </si>
  <si>
    <t>b</t>
  </si>
  <si>
    <t>ESCAVAÇÃO MANUAL DE VALA . AF_03/2016</t>
  </si>
  <si>
    <t>AGEHAB.0099</t>
  </si>
  <si>
    <t xml:space="preserve"> TCU Nº2622/2013</t>
  </si>
  <si>
    <t>PERCENTUAL DE ADMINISTRAÇÃO LOCAL INSERIDO NO CUSTO DIRETO, PARA CONSTRUÇÃO DE EDIFÍCIOS (1º QUARTIL) - 'Conforme Acórdão do TCU Nº2622/2013, TC036.076/2011-2 Item 9.2.2</t>
  </si>
  <si>
    <t>LOTEAMENTO JARDIM DOS ESTADOS</t>
  </si>
  <si>
    <t>RIBAS DO RIO PARDO/MS</t>
  </si>
  <si>
    <t>MAR / 2021</t>
  </si>
  <si>
    <t>05.16</t>
  </si>
  <si>
    <t>05.17</t>
  </si>
  <si>
    <t>AGEHAB.0047</t>
  </si>
  <si>
    <t>LANCAMENTO/APLICACAO MANUAL DE CONCRETO EM ESTRUTURAS</t>
  </si>
  <si>
    <t>Conforme Projeto Hidráulico</t>
  </si>
  <si>
    <t>Conforme Projeto Sanitário</t>
  </si>
  <si>
    <t>Área do Radier(60,38m²) - Área da primeira fiada de alvenaria (3,48m2)</t>
  </si>
  <si>
    <t>m x 0,09m</t>
  </si>
  <si>
    <t>vãos</t>
  </si>
  <si>
    <t>(0,8*6)+1,59</t>
  </si>
  <si>
    <t>(2,13+0,34+1,59+2,21)+((0,5+2,13+0,34+1,59+2,21+0,72)*2)+((2,03+1,03+2,85)*3)+(2,03+1,03)+(0,34+1,59)</t>
  </si>
  <si>
    <t>7</t>
  </si>
  <si>
    <t>8</t>
  </si>
  <si>
    <t>08 MESES</t>
  </si>
</sst>
</file>

<file path=xl/styles.xml><?xml version="1.0" encoding="utf-8"?>
<styleSheet xmlns="http://schemas.openxmlformats.org/spreadsheetml/2006/main">
  <numFmts count="6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General_)"/>
    <numFmt numFmtId="179" formatCode="0.000%"/>
    <numFmt numFmtId="180" formatCode="0.0"/>
    <numFmt numFmtId="181" formatCode="0.000"/>
    <numFmt numFmtId="182" formatCode="00"/>
    <numFmt numFmtId="183" formatCode="[$-416]mmmm\-yy;@"/>
    <numFmt numFmtId="184" formatCode="0.0000"/>
    <numFmt numFmtId="185" formatCode="#,##0.000"/>
    <numFmt numFmtId="186" formatCode="#,##0.0000"/>
    <numFmt numFmtId="187" formatCode="#,##0.0000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_ * #,##0.00_ ;_ * \-#,##0.00_ ;_ * &quot;-&quot;??_ ;_ @_ "/>
    <numFmt numFmtId="193" formatCode="#,##0.00000_);\(#,##0.00000\)"/>
    <numFmt numFmtId="194" formatCode="_(* #,##0.0000_);_(* \(#,##0.0000\);_(* &quot;-&quot;????_);_(@_)"/>
    <numFmt numFmtId="195" formatCode="#,##0.00_);\(#,##0.00\)"/>
    <numFmt numFmtId="196" formatCode="[$-416]dddd\,\ d&quot; de &quot;mmmm&quot; de &quot;yyyy"/>
    <numFmt numFmtId="197" formatCode="&quot;R$&quot;\ #,##0.00"/>
    <numFmt numFmtId="198" formatCode="#,##0.00_ ;\-#,##0.00\ "/>
    <numFmt numFmtId="199" formatCode="00.00"/>
    <numFmt numFmtId="200" formatCode="#,##0.0"/>
    <numFmt numFmtId="201" formatCode="d/m;@"/>
    <numFmt numFmtId="202" formatCode="[$-416]mmm\-yy;@"/>
    <numFmt numFmtId="203" formatCode="00000"/>
    <numFmt numFmtId="204" formatCode="000000"/>
    <numFmt numFmtId="205" formatCode="&quot;Ativado&quot;;&quot;Ativado&quot;;&quot;Desativado&quot;"/>
    <numFmt numFmtId="206" formatCode="&quot;R$&quot;\ #,##0"/>
    <numFmt numFmtId="207" formatCode="&quot;R$&quot;\ #,##0.0"/>
    <numFmt numFmtId="208" formatCode="#,##0.00000"/>
    <numFmt numFmtId="209" formatCode="&quot;R$&quot;#,##0.000000"/>
    <numFmt numFmtId="210" formatCode="&quot;R$&quot;#,##0.00"/>
    <numFmt numFmtId="211" formatCode="_-[$R$-416]* #,##0.00_-;\-[$R$-416]* #,##0.00_-;_-[$R$-416]* &quot;-&quot;??_-;_-@_-"/>
    <numFmt numFmtId="212" formatCode="0.0%"/>
    <numFmt numFmtId="213" formatCode="0.00000"/>
    <numFmt numFmtId="214" formatCode="_-[$R$-416]\ * #,##0.00_-;\-[$R$-416]\ * #,##0.00_-;_-[$R$-416]\ * &quot;-&quot;??_-;_-@_-"/>
    <numFmt numFmtId="215" formatCode="_-[$€-2]\ * #,##0.00_-;\-[$€-2]\ * #,##0.00_-;_-[$€-2]\ * &quot;-&quot;??_-;_-@_-"/>
    <numFmt numFmtId="216" formatCode="_(* #,##0.000_);_(* \(#,##0.000\);_(* &quot;-&quot;??_);_(@_)"/>
    <numFmt numFmtId="217" formatCode="_(* #,##0.0000_);_(* \(#,##0.0000\);_(* &quot;-&quot;??_);_(@_)"/>
    <numFmt numFmtId="218" formatCode="_(* #,##0.00000_);_(* \(#,##0.00000\);_(* &quot;-&quot;??_);_(@_)"/>
    <numFmt numFmtId="219" formatCode="_(* #,##0.000000_);_(* \(#,##0.000000\);_(* &quot;-&quot;??_);_(@_)"/>
    <numFmt numFmtId="220" formatCode="0.0000000"/>
    <numFmt numFmtId="221" formatCode="0.000000"/>
  </numFmts>
  <fonts count="117"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sz val="14"/>
      <color indexed="8"/>
      <name val="Tahoma"/>
      <family val="2"/>
    </font>
    <font>
      <b/>
      <sz val="18"/>
      <name val="Arial"/>
      <family val="2"/>
    </font>
    <font>
      <sz val="14"/>
      <name val="Times New Roman"/>
      <family val="1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57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62"/>
      <name val="Arial"/>
      <family val="2"/>
    </font>
    <font>
      <sz val="8.5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Arial"/>
      <family val="2"/>
    </font>
    <font>
      <sz val="12"/>
      <color rgb="FF7030A0"/>
      <name val="Arial"/>
      <family val="2"/>
    </font>
    <font>
      <sz val="12"/>
      <color rgb="FFFFFF00"/>
      <name val="Arial"/>
      <family val="2"/>
    </font>
    <font>
      <b/>
      <sz val="12"/>
      <color rgb="FFFFFF0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darkTrellis">
        <bgColor theme="9" tint="0.5999900102615356"/>
      </patternFill>
    </fill>
    <fill>
      <patternFill patternType="solid">
        <fgColor indexed="47"/>
        <bgColor indexed="64"/>
      </patternFill>
    </fill>
    <fill>
      <patternFill patternType="lightUp">
        <bgColor theme="7" tint="0.7999799847602844"/>
      </patternFill>
    </fill>
    <fill>
      <patternFill patternType="gray125">
        <bgColor theme="7" tint="0.7999799847602844"/>
      </patternFill>
    </fill>
    <fill>
      <patternFill patternType="solid">
        <fgColor theme="2" tint="-0.24997000396251678"/>
        <bgColor indexed="64"/>
      </patternFill>
    </fill>
    <fill>
      <patternFill patternType="lightTrellis"/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darkGrid">
        <bgColor theme="7" tint="0.7999799847602844"/>
      </patternFill>
    </fill>
    <fill>
      <patternFill patternType="lightGray">
        <bgColor theme="7" tint="0.7999799847602844"/>
      </patternFill>
    </fill>
    <fill>
      <patternFill patternType="darkTrellis">
        <bgColor theme="7" tint="0.799979984760284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hair"/>
      <top style="hair"/>
      <bottom style="thick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thin"/>
      <right style="hair"/>
      <top style="hair"/>
      <bottom/>
    </border>
    <border>
      <left/>
      <right/>
      <top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/>
    </border>
    <border>
      <left style="medium"/>
      <right style="thin"/>
      <top style="thin"/>
      <bottom style="hair"/>
    </border>
    <border>
      <left/>
      <right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medium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>
        <color indexed="63"/>
      </top>
      <bottom style="double"/>
    </border>
    <border>
      <left/>
      <right style="thick"/>
      <top/>
      <bottom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double"/>
    </border>
    <border>
      <left style="thin"/>
      <right/>
      <top/>
      <bottom style="double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6" fillId="21" borderId="5" applyNumberFormat="0" applyAlignment="0" applyProtection="0"/>
    <xf numFmtId="175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177" fontId="0" fillId="0" borderId="0" applyFill="0" applyBorder="0" applyAlignment="0" applyProtection="0"/>
    <xf numFmtId="177" fontId="0" fillId="0" borderId="0" applyFont="0" applyFill="0" applyBorder="0" applyAlignment="0" applyProtection="0"/>
  </cellStyleXfs>
  <cellXfs count="1142">
    <xf numFmtId="0" fontId="0" fillId="0" borderId="0" xfId="0" applyAlignment="1">
      <alignment/>
    </xf>
    <xf numFmtId="40" fontId="4" fillId="0" borderId="0" xfId="69" applyNumberFormat="1" applyFont="1" applyFill="1" applyAlignment="1">
      <alignment horizontal="right" vertical="center"/>
    </xf>
    <xf numFmtId="40" fontId="7" fillId="0" borderId="0" xfId="69" applyNumberFormat="1" applyFont="1" applyFill="1" applyAlignment="1">
      <alignment vertical="center"/>
    </xf>
    <xf numFmtId="0" fontId="7" fillId="0" borderId="0" xfId="51" applyNumberFormat="1" applyFont="1" applyFill="1" applyAlignment="1">
      <alignment vertical="center"/>
      <protection/>
    </xf>
    <xf numFmtId="40" fontId="7" fillId="0" borderId="0" xfId="69" applyNumberFormat="1" applyFont="1" applyFill="1" applyAlignment="1">
      <alignment horizontal="centerContinuous" vertical="center"/>
    </xf>
    <xf numFmtId="10" fontId="4" fillId="0" borderId="0" xfId="55" applyNumberFormat="1" applyFont="1" applyFill="1" applyAlignment="1">
      <alignment horizontal="left" vertical="center"/>
    </xf>
    <xf numFmtId="177" fontId="0" fillId="0" borderId="0" xfId="60" applyFont="1" applyFill="1" applyAlignment="1">
      <alignment vertical="center"/>
    </xf>
    <xf numFmtId="0" fontId="0" fillId="0" borderId="0" xfId="51" applyNumberFormat="1" applyFont="1" applyFill="1" applyAlignment="1">
      <alignment vertical="center"/>
      <protection/>
    </xf>
    <xf numFmtId="0" fontId="0" fillId="0" borderId="0" xfId="51" applyNumberFormat="1" applyFont="1" applyFill="1" applyAlignment="1">
      <alignment horizontal="justify" vertical="center"/>
      <protection/>
    </xf>
    <xf numFmtId="0" fontId="0" fillId="0" borderId="0" xfId="0" applyAlignment="1">
      <alignment vertical="top"/>
    </xf>
    <xf numFmtId="0" fontId="0" fillId="0" borderId="0" xfId="51" applyNumberFormat="1" applyFont="1" applyFill="1" applyAlignment="1">
      <alignment horizontal="justify" vertical="top"/>
      <protection/>
    </xf>
    <xf numFmtId="0" fontId="0" fillId="0" borderId="0" xfId="51" applyNumberFormat="1" applyFont="1" applyFill="1" applyAlignment="1">
      <alignment vertical="top"/>
      <protection/>
    </xf>
    <xf numFmtId="4" fontId="4" fillId="0" borderId="0" xfId="51" applyNumberFormat="1" applyFont="1" applyFill="1" applyAlignment="1">
      <alignment/>
      <protection/>
    </xf>
    <xf numFmtId="0" fontId="0" fillId="0" borderId="0" xfId="51" applyNumberFormat="1" applyFont="1" applyFill="1" applyAlignment="1">
      <alignment vertical="center"/>
      <protection/>
    </xf>
    <xf numFmtId="4" fontId="0" fillId="0" borderId="0" xfId="69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0" fontId="0" fillId="0" borderId="0" xfId="69" applyNumberFormat="1" applyFont="1" applyFill="1" applyAlignment="1">
      <alignment vertical="center"/>
    </xf>
    <xf numFmtId="4" fontId="0" fillId="0" borderId="0" xfId="69" applyNumberFormat="1" applyFont="1" applyFill="1" applyBorder="1" applyAlignment="1">
      <alignment horizontal="right" vertical="center"/>
    </xf>
    <xf numFmtId="4" fontId="0" fillId="0" borderId="0" xfId="51" applyNumberFormat="1" applyFont="1" applyFill="1" applyBorder="1" applyAlignment="1">
      <alignment vertical="center"/>
      <protection/>
    </xf>
    <xf numFmtId="0" fontId="0" fillId="0" borderId="0" xfId="51" applyNumberFormat="1" applyFont="1" applyFill="1" applyAlignment="1">
      <alignment horizontal="justify" vertical="center"/>
      <protection/>
    </xf>
    <xf numFmtId="177" fontId="0" fillId="0" borderId="0" xfId="60" applyFont="1" applyFill="1" applyBorder="1" applyAlignment="1">
      <alignment vertical="center"/>
    </xf>
    <xf numFmtId="0" fontId="0" fillId="0" borderId="0" xfId="51" applyFont="1" applyFill="1" applyAlignment="1">
      <alignment vertical="center"/>
      <protection/>
    </xf>
    <xf numFmtId="4" fontId="4" fillId="0" borderId="0" xfId="69" applyNumberFormat="1" applyFont="1" applyFill="1" applyAlignment="1">
      <alignment vertical="center"/>
    </xf>
    <xf numFmtId="0" fontId="0" fillId="0" borderId="0" xfId="51" applyFont="1" applyFill="1" applyBorder="1" applyAlignment="1">
      <alignment vertical="center"/>
      <protection/>
    </xf>
    <xf numFmtId="4" fontId="4" fillId="0" borderId="0" xfId="69" applyNumberFormat="1" applyFont="1" applyFill="1" applyAlignment="1">
      <alignment horizontal="left" vertical="center"/>
    </xf>
    <xf numFmtId="4" fontId="4" fillId="0" borderId="0" xfId="69" applyNumberFormat="1" applyFont="1" applyFill="1" applyAlignment="1">
      <alignment horizontal="right" vertical="center"/>
    </xf>
    <xf numFmtId="4" fontId="0" fillId="0" borderId="0" xfId="60" applyNumberFormat="1" applyFont="1" applyFill="1" applyBorder="1" applyAlignment="1">
      <alignment horizontal="centerContinuous" vertical="center"/>
    </xf>
    <xf numFmtId="4" fontId="4" fillId="0" borderId="0" xfId="5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15" fillId="0" borderId="0" xfId="51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0" xfId="53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0" fillId="0" borderId="0" xfId="0" applyFont="1" applyAlignment="1">
      <alignment vertical="center"/>
    </xf>
    <xf numFmtId="0" fontId="27" fillId="0" borderId="0" xfId="0" applyFont="1" applyAlignment="1">
      <alignment/>
    </xf>
    <xf numFmtId="10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181" fontId="28" fillId="0" borderId="0" xfId="0" applyNumberFormat="1" applyFont="1" applyAlignment="1">
      <alignment vertical="center"/>
    </xf>
    <xf numFmtId="0" fontId="0" fillId="0" borderId="0" xfId="51" applyFont="1" applyFill="1">
      <alignment/>
      <protection/>
    </xf>
    <xf numFmtId="0" fontId="28" fillId="0" borderId="0" xfId="51" applyFont="1" applyFill="1">
      <alignment/>
      <protection/>
    </xf>
    <xf numFmtId="181" fontId="28" fillId="0" borderId="0" xfId="51" applyNumberFormat="1" applyFont="1" applyFill="1">
      <alignment/>
      <protection/>
    </xf>
    <xf numFmtId="2" fontId="10" fillId="0" borderId="0" xfId="0" applyNumberFormat="1" applyFont="1" applyBorder="1" applyAlignment="1">
      <alignment horizontal="left" vertical="center"/>
    </xf>
    <xf numFmtId="0" fontId="0" fillId="0" borderId="0" xfId="51" applyFont="1" applyFill="1" applyBorder="1">
      <alignment/>
      <protection/>
    </xf>
    <xf numFmtId="0" fontId="23" fillId="0" borderId="0" xfId="51" applyFont="1" applyFill="1" applyBorder="1">
      <alignment/>
      <protection/>
    </xf>
    <xf numFmtId="182" fontId="15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left" vertical="center"/>
    </xf>
    <xf numFmtId="10" fontId="0" fillId="33" borderId="14" xfId="55" applyNumberFormat="1" applyFont="1" applyFill="1" applyBorder="1" applyAlignment="1" applyProtection="1">
      <alignment horizontal="center" vertical="center"/>
      <protection/>
    </xf>
    <xf numFmtId="39" fontId="0" fillId="33" borderId="15" xfId="0" applyNumberFormat="1" applyFont="1" applyFill="1" applyBorder="1" applyAlignment="1">
      <alignment horizontal="center" vertical="center"/>
    </xf>
    <xf numFmtId="10" fontId="0" fillId="33" borderId="16" xfId="55" applyNumberFormat="1" applyFont="1" applyFill="1" applyBorder="1" applyAlignment="1" applyProtection="1">
      <alignment horizontal="center" vertical="center"/>
      <protection/>
    </xf>
    <xf numFmtId="10" fontId="0" fillId="33" borderId="17" xfId="55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>
      <alignment horizontal="center" vertical="center"/>
    </xf>
    <xf numFmtId="39" fontId="0" fillId="33" borderId="19" xfId="0" applyNumberFormat="1" applyFont="1" applyFill="1" applyBorder="1" applyAlignment="1">
      <alignment horizontal="center" vertical="center"/>
    </xf>
    <xf numFmtId="39" fontId="29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9" fillId="0" borderId="0" xfId="0" applyFont="1" applyAlignment="1">
      <alignment vertical="center"/>
    </xf>
    <xf numFmtId="181" fontId="29" fillId="0" borderId="0" xfId="0" applyNumberFormat="1" applyFont="1" applyAlignment="1">
      <alignment vertical="center"/>
    </xf>
    <xf numFmtId="10" fontId="6" fillId="0" borderId="23" xfId="0" applyNumberFormat="1" applyFont="1" applyBorder="1" applyAlignment="1" applyProtection="1">
      <alignment horizontal="left" vertical="center"/>
      <protection/>
    </xf>
    <xf numFmtId="10" fontId="6" fillId="0" borderId="24" xfId="0" applyNumberFormat="1" applyFont="1" applyBorder="1" applyAlignment="1">
      <alignment vertical="center"/>
    </xf>
    <xf numFmtId="10" fontId="6" fillId="0" borderId="25" xfId="0" applyNumberFormat="1" applyFont="1" applyBorder="1" applyAlignment="1">
      <alignment vertical="center"/>
    </xf>
    <xf numFmtId="10" fontId="6" fillId="0" borderId="26" xfId="0" applyNumberFormat="1" applyFont="1" applyBorder="1" applyAlignment="1" applyProtection="1">
      <alignment horizontal="right" vertical="center"/>
      <protection/>
    </xf>
    <xf numFmtId="10" fontId="6" fillId="0" borderId="27" xfId="0" applyNumberFormat="1" applyFont="1" applyBorder="1" applyAlignment="1" applyProtection="1">
      <alignment horizontal="right" vertical="center"/>
      <protection/>
    </xf>
    <xf numFmtId="10" fontId="22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24" fillId="0" borderId="0" xfId="53" applyFont="1" applyBorder="1" applyAlignment="1">
      <alignment horizontal="left" vertical="center"/>
      <protection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" fontId="0" fillId="0" borderId="0" xfId="51" applyNumberFormat="1" applyFont="1" applyFill="1" applyAlignment="1">
      <alignment horizontal="center" vertical="center" wrapText="1"/>
      <protection/>
    </xf>
    <xf numFmtId="1" fontId="6" fillId="0" borderId="0" xfId="51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0" fillId="0" borderId="0" xfId="51" applyNumberFormat="1" applyFont="1" applyFill="1" applyBorder="1" applyAlignment="1">
      <alignment vertical="center"/>
      <protection/>
    </xf>
    <xf numFmtId="0" fontId="0" fillId="0" borderId="2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51" applyNumberFormat="1" applyFont="1" applyFill="1" applyBorder="1" applyAlignment="1">
      <alignment horizontal="justify" vertical="center"/>
      <protection/>
    </xf>
    <xf numFmtId="4" fontId="10" fillId="0" borderId="0" xfId="51" applyNumberFormat="1" applyFont="1" applyFill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10" fontId="0" fillId="0" borderId="29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0" fontId="28" fillId="0" borderId="0" xfId="0" applyNumberFormat="1" applyFont="1" applyAlignment="1">
      <alignment vertical="center"/>
    </xf>
    <xf numFmtId="39" fontId="94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10" fontId="0" fillId="33" borderId="30" xfId="55" applyNumberFormat="1" applyFont="1" applyFill="1" applyBorder="1" applyAlignment="1" applyProtection="1">
      <alignment horizontal="center" vertical="center"/>
      <protection/>
    </xf>
    <xf numFmtId="0" fontId="24" fillId="0" borderId="31" xfId="53" applyFont="1" applyBorder="1" applyAlignment="1">
      <alignment vertical="center"/>
      <protection/>
    </xf>
    <xf numFmtId="0" fontId="33" fillId="0" borderId="32" xfId="0" applyFont="1" applyBorder="1" applyAlignment="1">
      <alignment vertical="center"/>
    </xf>
    <xf numFmtId="0" fontId="31" fillId="34" borderId="33" xfId="0" applyFont="1" applyFill="1" applyBorder="1" applyAlignment="1">
      <alignment vertical="center"/>
    </xf>
    <xf numFmtId="0" fontId="31" fillId="34" borderId="29" xfId="0" applyFont="1" applyFill="1" applyBorder="1" applyAlignment="1">
      <alignment horizontal="left" vertical="center"/>
    </xf>
    <xf numFmtId="0" fontId="31" fillId="34" borderId="29" xfId="0" applyFont="1" applyFill="1" applyBorder="1" applyAlignment="1">
      <alignment/>
    </xf>
    <xf numFmtId="0" fontId="31" fillId="34" borderId="34" xfId="0" applyFont="1" applyFill="1" applyBorder="1" applyAlignment="1">
      <alignment/>
    </xf>
    <xf numFmtId="0" fontId="31" fillId="34" borderId="33" xfId="51" applyFont="1" applyFill="1" applyBorder="1" applyAlignment="1">
      <alignment vertical="center"/>
      <protection/>
    </xf>
    <xf numFmtId="0" fontId="31" fillId="34" borderId="33" xfId="0" applyFont="1" applyFill="1" applyBorder="1" applyAlignment="1">
      <alignment/>
    </xf>
    <xf numFmtId="0" fontId="31" fillId="34" borderId="35" xfId="0" applyFont="1" applyFill="1" applyBorder="1" applyAlignment="1">
      <alignment/>
    </xf>
    <xf numFmtId="0" fontId="31" fillId="35" borderId="34" xfId="0" applyFont="1" applyFill="1" applyBorder="1" applyAlignment="1">
      <alignment/>
    </xf>
    <xf numFmtId="49" fontId="31" fillId="35" borderId="36" xfId="0" applyNumberFormat="1" applyFont="1" applyFill="1" applyBorder="1" applyAlignment="1">
      <alignment/>
    </xf>
    <xf numFmtId="0" fontId="31" fillId="35" borderId="37" xfId="0" applyFont="1" applyFill="1" applyBorder="1" applyAlignment="1">
      <alignment/>
    </xf>
    <xf numFmtId="0" fontId="31" fillId="35" borderId="32" xfId="0" applyFont="1" applyFill="1" applyBorder="1" applyAlignment="1">
      <alignment/>
    </xf>
    <xf numFmtId="0" fontId="31" fillId="35" borderId="35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51" applyNumberFormat="1" applyFont="1" applyFill="1" applyAlignment="1">
      <alignment horizontal="center" vertical="center"/>
      <protection/>
    </xf>
    <xf numFmtId="0" fontId="13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>
      <alignment horizontal="centerContinuous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6" fillId="13" borderId="43" xfId="0" applyNumberFormat="1" applyFont="1" applyFill="1" applyBorder="1" applyAlignment="1">
      <alignment vertical="center"/>
    </xf>
    <xf numFmtId="0" fontId="6" fillId="13" borderId="38" xfId="0" applyFont="1" applyFill="1" applyBorder="1" applyAlignment="1">
      <alignment vertical="center"/>
    </xf>
    <xf numFmtId="0" fontId="5" fillId="13" borderId="11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vertical="center"/>
    </xf>
    <xf numFmtId="0" fontId="19" fillId="13" borderId="0" xfId="0" applyFont="1" applyFill="1" applyBorder="1" applyAlignment="1">
      <alignment vertical="center"/>
    </xf>
    <xf numFmtId="0" fontId="13" fillId="13" borderId="11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left" vertical="center"/>
    </xf>
    <xf numFmtId="2" fontId="6" fillId="0" borderId="43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13" borderId="11" xfId="0" applyFont="1" applyFill="1" applyBorder="1" applyAlignment="1">
      <alignment horizontal="center" vertical="center"/>
    </xf>
    <xf numFmtId="0" fontId="34" fillId="13" borderId="0" xfId="0" applyFont="1" applyFill="1" applyBorder="1" applyAlignment="1">
      <alignment vertical="center"/>
    </xf>
    <xf numFmtId="2" fontId="0" fillId="13" borderId="0" xfId="0" applyNumberFormat="1" applyFont="1" applyFill="1" applyBorder="1" applyAlignment="1">
      <alignment horizontal="center" vertical="center"/>
    </xf>
    <xf numFmtId="2" fontId="0" fillId="37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Alignment="1">
      <alignment vertical="center"/>
    </xf>
    <xf numFmtId="2" fontId="0" fillId="13" borderId="0" xfId="0" applyNumberFormat="1" applyFont="1" applyFill="1" applyBorder="1" applyAlignment="1">
      <alignment horizontal="left" vertical="center"/>
    </xf>
    <xf numFmtId="2" fontId="4" fillId="13" borderId="0" xfId="0" applyNumberFormat="1" applyFont="1" applyFill="1" applyBorder="1" applyAlignment="1">
      <alignment horizontal="center" vertical="center"/>
    </xf>
    <xf numFmtId="2" fontId="12" fillId="38" borderId="10" xfId="0" applyNumberFormat="1" applyFont="1" applyFill="1" applyBorder="1" applyAlignment="1">
      <alignment vertical="center"/>
    </xf>
    <xf numFmtId="2" fontId="12" fillId="38" borderId="43" xfId="0" applyNumberFormat="1" applyFont="1" applyFill="1" applyBorder="1" applyAlignment="1">
      <alignment vertical="center"/>
    </xf>
    <xf numFmtId="2" fontId="12" fillId="38" borderId="28" xfId="0" applyNumberFormat="1" applyFont="1" applyFill="1" applyBorder="1" applyAlignment="1">
      <alignment vertical="center"/>
    </xf>
    <xf numFmtId="2" fontId="12" fillId="38" borderId="38" xfId="0" applyNumberFormat="1" applyFont="1" applyFill="1" applyBorder="1" applyAlignment="1">
      <alignment vertical="center"/>
    </xf>
    <xf numFmtId="0" fontId="6" fillId="13" borderId="11" xfId="0" applyFont="1" applyFill="1" applyBorder="1" applyAlignment="1">
      <alignment horizontal="center" vertical="center"/>
    </xf>
    <xf numFmtId="181" fontId="4" fillId="13" borderId="44" xfId="0" applyNumberFormat="1" applyFont="1" applyFill="1" applyBorder="1" applyAlignment="1">
      <alignment horizontal="centerContinuous" vertical="center"/>
    </xf>
    <xf numFmtId="2" fontId="4" fillId="13" borderId="44" xfId="0" applyNumberFormat="1" applyFont="1" applyFill="1" applyBorder="1" applyAlignment="1">
      <alignment horizontal="centerContinuous" vertical="center"/>
    </xf>
    <xf numFmtId="0" fontId="0" fillId="0" borderId="42" xfId="0" applyFont="1" applyBorder="1" applyAlignment="1">
      <alignment vertical="center"/>
    </xf>
    <xf numFmtId="0" fontId="36" fillId="13" borderId="11" xfId="0" applyFont="1" applyFill="1" applyBorder="1" applyAlignment="1">
      <alignment horizontal="center" vertical="center"/>
    </xf>
    <xf numFmtId="0" fontId="36" fillId="13" borderId="0" xfId="0" applyFont="1" applyFill="1" applyBorder="1" applyAlignment="1">
      <alignment vertical="center"/>
    </xf>
    <xf numFmtId="2" fontId="6" fillId="13" borderId="0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4" fillId="13" borderId="11" xfId="0" applyFont="1" applyFill="1" applyBorder="1" applyAlignment="1">
      <alignment horizontal="center" vertical="center"/>
    </xf>
    <xf numFmtId="0" fontId="37" fillId="13" borderId="0" xfId="0" applyFont="1" applyFill="1" applyBorder="1" applyAlignment="1">
      <alignment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vertical="center"/>
    </xf>
    <xf numFmtId="0" fontId="37" fillId="13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center" vertical="center"/>
    </xf>
    <xf numFmtId="2" fontId="13" fillId="13" borderId="0" xfId="0" applyNumberFormat="1" applyFont="1" applyFill="1" applyBorder="1" applyAlignment="1">
      <alignment horizontal="center" vertical="center"/>
    </xf>
    <xf numFmtId="181" fontId="13" fillId="13" borderId="0" xfId="0" applyNumberFormat="1" applyFont="1" applyFill="1" applyBorder="1" applyAlignment="1">
      <alignment horizontal="left" vertical="center"/>
    </xf>
    <xf numFmtId="2" fontId="13" fillId="13" borderId="0" xfId="0" applyNumberFormat="1" applyFont="1" applyFill="1" applyBorder="1" applyAlignment="1">
      <alignment horizontal="right" vertical="center"/>
    </xf>
    <xf numFmtId="0" fontId="12" fillId="13" borderId="39" xfId="0" applyFont="1" applyFill="1" applyBorder="1" applyAlignment="1">
      <alignment vertical="center"/>
    </xf>
    <xf numFmtId="0" fontId="0" fillId="13" borderId="40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2" fontId="13" fillId="13" borderId="40" xfId="0" applyNumberFormat="1" applyFont="1" applyFill="1" applyBorder="1" applyAlignment="1">
      <alignment horizontal="left" vertical="center"/>
    </xf>
    <xf numFmtId="181" fontId="13" fillId="13" borderId="39" xfId="0" applyNumberFormat="1" applyFont="1" applyFill="1" applyBorder="1" applyAlignment="1">
      <alignment vertical="center"/>
    </xf>
    <xf numFmtId="0" fontId="0" fillId="13" borderId="41" xfId="0" applyFont="1" applyFill="1" applyBorder="1" applyAlignment="1">
      <alignment vertical="center"/>
    </xf>
    <xf numFmtId="0" fontId="13" fillId="13" borderId="0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12" fillId="13" borderId="11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left" vertical="center"/>
    </xf>
    <xf numFmtId="0" fontId="13" fillId="13" borderId="11" xfId="0" applyFont="1" applyFill="1" applyBorder="1" applyAlignment="1">
      <alignment vertical="center"/>
    </xf>
    <xf numFmtId="0" fontId="0" fillId="13" borderId="42" xfId="0" applyFont="1" applyFill="1" applyBorder="1" applyAlignment="1">
      <alignment vertical="center"/>
    </xf>
    <xf numFmtId="0" fontId="13" fillId="13" borderId="12" xfId="0" applyFont="1" applyFill="1" applyBorder="1" applyAlignment="1">
      <alignment horizontal="center" vertical="center"/>
    </xf>
    <xf numFmtId="2" fontId="13" fillId="13" borderId="0" xfId="0" applyNumberFormat="1" applyFont="1" applyFill="1" applyBorder="1" applyAlignment="1">
      <alignment horizontal="left" vertical="center"/>
    </xf>
    <xf numFmtId="181" fontId="13" fillId="13" borderId="13" xfId="0" applyNumberFormat="1" applyFont="1" applyFill="1" applyBorder="1" applyAlignment="1">
      <alignment vertical="center"/>
    </xf>
    <xf numFmtId="0" fontId="0" fillId="13" borderId="45" xfId="0" applyFont="1" applyFill="1" applyBorder="1" applyAlignment="1">
      <alignment vertical="center"/>
    </xf>
    <xf numFmtId="0" fontId="0" fillId="13" borderId="11" xfId="0" applyFont="1" applyFill="1" applyBorder="1" applyAlignment="1">
      <alignment vertical="center"/>
    </xf>
    <xf numFmtId="0" fontId="13" fillId="13" borderId="12" xfId="0" applyFont="1" applyFill="1" applyBorder="1" applyAlignment="1">
      <alignment vertical="center"/>
    </xf>
    <xf numFmtId="181" fontId="13" fillId="13" borderId="13" xfId="0" applyNumberFormat="1" applyFont="1" applyFill="1" applyBorder="1" applyAlignment="1">
      <alignment horizontal="right" vertical="center"/>
    </xf>
    <xf numFmtId="0" fontId="0" fillId="13" borderId="45" xfId="0" applyFont="1" applyFill="1" applyBorder="1" applyAlignment="1">
      <alignment horizontal="left" vertical="center"/>
    </xf>
    <xf numFmtId="0" fontId="12" fillId="13" borderId="40" xfId="0" applyFont="1" applyFill="1" applyBorder="1" applyAlignment="1">
      <alignment vertical="center" wrapText="1"/>
    </xf>
    <xf numFmtId="0" fontId="13" fillId="13" borderId="40" xfId="0" applyFont="1" applyFill="1" applyBorder="1" applyAlignment="1">
      <alignment vertical="center"/>
    </xf>
    <xf numFmtId="2" fontId="0" fillId="13" borderId="43" xfId="0" applyNumberFormat="1" applyFont="1" applyFill="1" applyBorder="1" applyAlignment="1">
      <alignment horizontal="center" vertical="center"/>
    </xf>
    <xf numFmtId="0" fontId="0" fillId="13" borderId="38" xfId="0" applyFont="1" applyFill="1" applyBorder="1" applyAlignment="1">
      <alignment vertical="center"/>
    </xf>
    <xf numFmtId="181" fontId="4" fillId="13" borderId="28" xfId="0" applyNumberFormat="1" applyFont="1" applyFill="1" applyBorder="1" applyAlignment="1">
      <alignment horizontal="right" vertical="center"/>
    </xf>
    <xf numFmtId="0" fontId="4" fillId="13" borderId="28" xfId="0" applyFont="1" applyFill="1" applyBorder="1" applyAlignment="1">
      <alignment vertical="center"/>
    </xf>
    <xf numFmtId="181" fontId="4" fillId="13" borderId="38" xfId="0" applyNumberFormat="1" applyFont="1" applyFill="1" applyBorder="1" applyAlignment="1">
      <alignment horizontal="left" vertical="center"/>
    </xf>
    <xf numFmtId="0" fontId="34" fillId="13" borderId="0" xfId="0" applyFont="1" applyFill="1" applyBorder="1" applyAlignment="1">
      <alignment horizontal="left" vertical="center"/>
    </xf>
    <xf numFmtId="0" fontId="0" fillId="13" borderId="0" xfId="0" applyFont="1" applyFill="1" applyBorder="1" applyAlignment="1">
      <alignment horizontal="right" vertical="center"/>
    </xf>
    <xf numFmtId="180" fontId="0" fillId="13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vertical="center"/>
    </xf>
    <xf numFmtId="2" fontId="4" fillId="13" borderId="43" xfId="0" applyNumberFormat="1" applyFont="1" applyFill="1" applyBorder="1" applyAlignment="1">
      <alignment vertical="center"/>
    </xf>
    <xf numFmtId="2" fontId="0" fillId="13" borderId="43" xfId="0" applyNumberFormat="1" applyFont="1" applyFill="1" applyBorder="1" applyAlignment="1">
      <alignment vertical="center"/>
    </xf>
    <xf numFmtId="2" fontId="0" fillId="13" borderId="0" xfId="0" applyNumberFormat="1" applyFont="1" applyFill="1" applyBorder="1" applyAlignment="1">
      <alignment vertical="center"/>
    </xf>
    <xf numFmtId="2" fontId="0" fillId="13" borderId="39" xfId="0" applyNumberFormat="1" applyFont="1" applyFill="1" applyBorder="1" applyAlignment="1">
      <alignment horizontal="center" vertical="center"/>
    </xf>
    <xf numFmtId="2" fontId="0" fillId="13" borderId="14" xfId="0" applyNumberFormat="1" applyFont="1" applyFill="1" applyBorder="1" applyAlignment="1">
      <alignment horizontal="center" vertical="center"/>
    </xf>
    <xf numFmtId="2" fontId="0" fillId="13" borderId="41" xfId="0" applyNumberFormat="1" applyFont="1" applyFill="1" applyBorder="1" applyAlignment="1">
      <alignment horizontal="center" vertical="center"/>
    </xf>
    <xf numFmtId="2" fontId="0" fillId="13" borderId="11" xfId="0" applyNumberFormat="1" applyFont="1" applyFill="1" applyBorder="1" applyAlignment="1">
      <alignment horizontal="center" vertical="center"/>
    </xf>
    <xf numFmtId="2" fontId="0" fillId="13" borderId="46" xfId="0" applyNumberFormat="1" applyFont="1" applyFill="1" applyBorder="1" applyAlignment="1">
      <alignment horizontal="center" vertical="center"/>
    </xf>
    <xf numFmtId="2" fontId="0" fillId="13" borderId="42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 quotePrefix="1">
      <alignment horizontal="left" vertical="center"/>
    </xf>
    <xf numFmtId="2" fontId="0" fillId="13" borderId="13" xfId="0" applyNumberFormat="1" applyFont="1" applyFill="1" applyBorder="1" applyAlignment="1">
      <alignment horizontal="center" vertical="center"/>
    </xf>
    <xf numFmtId="2" fontId="0" fillId="13" borderId="15" xfId="0" applyNumberFormat="1" applyFont="1" applyFill="1" applyBorder="1" applyAlignment="1">
      <alignment horizontal="center" vertical="center"/>
    </xf>
    <xf numFmtId="2" fontId="0" fillId="13" borderId="45" xfId="0" applyNumberFormat="1" applyFont="1" applyFill="1" applyBorder="1" applyAlignment="1">
      <alignment horizontal="center" vertical="center"/>
    </xf>
    <xf numFmtId="2" fontId="6" fillId="13" borderId="10" xfId="0" applyNumberFormat="1" applyFont="1" applyFill="1" applyBorder="1" applyAlignment="1">
      <alignment horizontal="center" vertical="center"/>
    </xf>
    <xf numFmtId="2" fontId="6" fillId="39" borderId="43" xfId="0" applyNumberFormat="1" applyFont="1" applyFill="1" applyBorder="1" applyAlignment="1">
      <alignment horizontal="right" vertical="center"/>
    </xf>
    <xf numFmtId="0" fontId="6" fillId="39" borderId="38" xfId="0" applyFont="1" applyFill="1" applyBorder="1" applyAlignment="1">
      <alignment horizontal="left" vertical="center"/>
    </xf>
    <xf numFmtId="0" fontId="5" fillId="13" borderId="47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vertical="center"/>
    </xf>
    <xf numFmtId="0" fontId="0" fillId="13" borderId="33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3" fillId="5" borderId="1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2" fontId="0" fillId="5" borderId="0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/>
    </xf>
    <xf numFmtId="2" fontId="4" fillId="5" borderId="44" xfId="0" applyNumberFormat="1" applyFont="1" applyFill="1" applyBorder="1" applyAlignment="1">
      <alignment horizontal="centerContinuous" vertical="center"/>
    </xf>
    <xf numFmtId="0" fontId="0" fillId="5" borderId="51" xfId="0" applyFont="1" applyFill="1" applyBorder="1" applyAlignment="1">
      <alignment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2" fontId="4" fillId="5" borderId="54" xfId="0" applyNumberFormat="1" applyFont="1" applyFill="1" applyBorder="1" applyAlignment="1">
      <alignment horizontal="center" vertical="center"/>
    </xf>
    <xf numFmtId="2" fontId="4" fillId="0" borderId="55" xfId="0" applyNumberFormat="1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right" vertical="center" textRotation="90"/>
    </xf>
    <xf numFmtId="0" fontId="20" fillId="5" borderId="0" xfId="0" applyFont="1" applyFill="1" applyBorder="1" applyAlignment="1">
      <alignment horizontal="center" vertical="center"/>
    </xf>
    <xf numFmtId="0" fontId="0" fillId="5" borderId="53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2" fontId="20" fillId="5" borderId="57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0" fillId="40" borderId="39" xfId="0" applyFont="1" applyFill="1" applyBorder="1" applyAlignment="1">
      <alignment vertical="center"/>
    </xf>
    <xf numFmtId="0" fontId="12" fillId="5" borderId="1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vertical="center" textRotation="90"/>
    </xf>
    <xf numFmtId="0" fontId="0" fillId="40" borderId="42" xfId="0" applyFont="1" applyFill="1" applyBorder="1" applyAlignment="1">
      <alignment vertical="center"/>
    </xf>
    <xf numFmtId="2" fontId="21" fillId="5" borderId="58" xfId="0" applyNumberFormat="1" applyFont="1" applyFill="1" applyBorder="1" applyAlignment="1">
      <alignment horizontal="center" vertical="center" textRotation="90"/>
    </xf>
    <xf numFmtId="0" fontId="0" fillId="40" borderId="11" xfId="0" applyFont="1" applyFill="1" applyBorder="1" applyAlignment="1">
      <alignment vertical="center"/>
    </xf>
    <xf numFmtId="0" fontId="12" fillId="5" borderId="46" xfId="0" applyFont="1" applyFill="1" applyBorder="1" applyAlignment="1">
      <alignment horizontal="center" vertical="center"/>
    </xf>
    <xf numFmtId="0" fontId="4" fillId="41" borderId="38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vertical="center"/>
    </xf>
    <xf numFmtId="0" fontId="4" fillId="5" borderId="42" xfId="0" applyFont="1" applyFill="1" applyBorder="1" applyAlignment="1">
      <alignment horizontal="center" vertical="center"/>
    </xf>
    <xf numFmtId="0" fontId="0" fillId="40" borderId="60" xfId="0" applyFont="1" applyFill="1" applyBorder="1" applyAlignment="1">
      <alignment vertical="center" textRotation="90"/>
    </xf>
    <xf numFmtId="0" fontId="6" fillId="5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2" fontId="20" fillId="5" borderId="61" xfId="0" applyNumberFormat="1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vertical="center"/>
    </xf>
    <xf numFmtId="0" fontId="0" fillId="40" borderId="45" xfId="0" applyFont="1" applyFill="1" applyBorder="1" applyAlignment="1">
      <alignment vertical="center"/>
    </xf>
    <xf numFmtId="0" fontId="20" fillId="5" borderId="6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2" fontId="12" fillId="5" borderId="0" xfId="0" applyNumberFormat="1" applyFont="1" applyFill="1" applyBorder="1" applyAlignment="1">
      <alignment horizontal="center" vertical="center"/>
    </xf>
    <xf numFmtId="2" fontId="4" fillId="5" borderId="5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2" fontId="6" fillId="5" borderId="0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vertical="center"/>
    </xf>
    <xf numFmtId="0" fontId="0" fillId="5" borderId="40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2" fontId="13" fillId="5" borderId="40" xfId="0" applyNumberFormat="1" applyFont="1" applyFill="1" applyBorder="1" applyAlignment="1">
      <alignment horizontal="left" vertical="center"/>
    </xf>
    <xf numFmtId="181" fontId="13" fillId="5" borderId="39" xfId="0" applyNumberFormat="1" applyFont="1" applyFill="1" applyBorder="1" applyAlignment="1">
      <alignment vertical="center"/>
    </xf>
    <xf numFmtId="0" fontId="0" fillId="5" borderId="41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13" fillId="5" borderId="12" xfId="0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left" vertical="center"/>
    </xf>
    <xf numFmtId="181" fontId="13" fillId="5" borderId="13" xfId="0" applyNumberFormat="1" applyFont="1" applyFill="1" applyBorder="1" applyAlignment="1">
      <alignment vertical="center"/>
    </xf>
    <xf numFmtId="0" fontId="0" fillId="5" borderId="45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81" fontId="13" fillId="5" borderId="13" xfId="0" applyNumberFormat="1" applyFont="1" applyFill="1" applyBorder="1" applyAlignment="1">
      <alignment horizontal="right" vertical="center"/>
    </xf>
    <xf numFmtId="0" fontId="0" fillId="5" borderId="45" xfId="0" applyFont="1" applyFill="1" applyBorder="1" applyAlignment="1">
      <alignment horizontal="left" vertical="center"/>
    </xf>
    <xf numFmtId="0" fontId="12" fillId="5" borderId="40" xfId="0" applyFont="1" applyFill="1" applyBorder="1" applyAlignment="1">
      <alignment vertical="center" wrapText="1"/>
    </xf>
    <xf numFmtId="0" fontId="13" fillId="5" borderId="40" xfId="0" applyFont="1" applyFill="1" applyBorder="1" applyAlignment="1">
      <alignment vertical="center"/>
    </xf>
    <xf numFmtId="2" fontId="0" fillId="5" borderId="43" xfId="0" applyNumberFormat="1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vertical="center"/>
    </xf>
    <xf numFmtId="181" fontId="4" fillId="5" borderId="28" xfId="0" applyNumberFormat="1" applyFont="1" applyFill="1" applyBorder="1" applyAlignment="1">
      <alignment horizontal="right" vertical="center"/>
    </xf>
    <xf numFmtId="0" fontId="4" fillId="5" borderId="28" xfId="0" applyFont="1" applyFill="1" applyBorder="1" applyAlignment="1">
      <alignment vertical="center"/>
    </xf>
    <xf numFmtId="181" fontId="4" fillId="5" borderId="38" xfId="0" applyNumberFormat="1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right" vertical="center"/>
    </xf>
    <xf numFmtId="180" fontId="0" fillId="5" borderId="0" xfId="0" applyNumberFormat="1" applyFont="1" applyFill="1" applyBorder="1" applyAlignment="1">
      <alignment horizontal="left" vertical="center"/>
    </xf>
    <xf numFmtId="2" fontId="4" fillId="5" borderId="43" xfId="0" applyNumberFormat="1" applyFont="1" applyFill="1" applyBorder="1" applyAlignment="1">
      <alignment vertical="center"/>
    </xf>
    <xf numFmtId="2" fontId="0" fillId="5" borderId="43" xfId="0" applyNumberFormat="1" applyFont="1" applyFill="1" applyBorder="1" applyAlignment="1">
      <alignment vertical="center"/>
    </xf>
    <xf numFmtId="2" fontId="0" fillId="5" borderId="0" xfId="0" applyNumberFormat="1" applyFont="1" applyFill="1" applyBorder="1" applyAlignment="1">
      <alignment vertical="center"/>
    </xf>
    <xf numFmtId="0" fontId="37" fillId="5" borderId="43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2" fontId="6" fillId="2" borderId="43" xfId="0" applyNumberFormat="1" applyFont="1" applyFill="1" applyBorder="1" applyAlignment="1">
      <alignment horizontal="center" vertical="center"/>
    </xf>
    <xf numFmtId="2" fontId="6" fillId="2" borderId="38" xfId="0" applyNumberFormat="1" applyFont="1" applyFill="1" applyBorder="1" applyAlignment="1">
      <alignment horizontal="left" vertical="center"/>
    </xf>
    <xf numFmtId="1" fontId="0" fillId="5" borderId="0" xfId="0" applyNumberFormat="1" applyFont="1" applyFill="1" applyBorder="1" applyAlignment="1">
      <alignment horizontal="center" vertical="center"/>
    </xf>
    <xf numFmtId="2" fontId="6" fillId="39" borderId="13" xfId="0" applyNumberFormat="1" applyFont="1" applyFill="1" applyBorder="1" applyAlignment="1">
      <alignment vertical="center"/>
    </xf>
    <xf numFmtId="0" fontId="6" fillId="39" borderId="45" xfId="0" applyFont="1" applyFill="1" applyBorder="1" applyAlignment="1">
      <alignment vertical="center"/>
    </xf>
    <xf numFmtId="0" fontId="0" fillId="5" borderId="0" xfId="0" applyFont="1" applyFill="1" applyBorder="1" applyAlignment="1" quotePrefix="1">
      <alignment horizontal="left" vertical="center"/>
    </xf>
    <xf numFmtId="0" fontId="19" fillId="5" borderId="0" xfId="0" applyFont="1" applyFill="1" applyBorder="1" applyAlignment="1">
      <alignment horizontal="right" vertical="center"/>
    </xf>
    <xf numFmtId="180" fontId="19" fillId="5" borderId="0" xfId="0" applyNumberFormat="1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vertical="center"/>
    </xf>
    <xf numFmtId="2" fontId="0" fillId="5" borderId="62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2" fontId="0" fillId="5" borderId="15" xfId="0" applyNumberFormat="1" applyFont="1" applyFill="1" applyBorder="1" applyAlignment="1">
      <alignment horizontal="center" vertical="center"/>
    </xf>
    <xf numFmtId="2" fontId="38" fillId="5" borderId="15" xfId="0" applyNumberFormat="1" applyFont="1" applyFill="1" applyBorder="1" applyAlignment="1">
      <alignment horizontal="center" vertical="center"/>
    </xf>
    <xf numFmtId="2" fontId="0" fillId="5" borderId="10" xfId="0" applyNumberFormat="1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181" fontId="0" fillId="5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2" fontId="0" fillId="5" borderId="40" xfId="0" applyNumberFormat="1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2" fontId="0" fillId="5" borderId="13" xfId="0" applyNumberFormat="1" applyFont="1" applyFill="1" applyBorder="1" applyAlignment="1">
      <alignment vertical="center"/>
    </xf>
    <xf numFmtId="2" fontId="6" fillId="5" borderId="10" xfId="0" applyNumberFormat="1" applyFont="1" applyFill="1" applyBorder="1" applyAlignment="1">
      <alignment vertical="center"/>
    </xf>
    <xf numFmtId="2" fontId="0" fillId="5" borderId="42" xfId="0" applyNumberFormat="1" applyFont="1" applyFill="1" applyBorder="1" applyAlignment="1">
      <alignment vertical="center"/>
    </xf>
    <xf numFmtId="2" fontId="6" fillId="5" borderId="14" xfId="0" applyNumberFormat="1" applyFont="1" applyFill="1" applyBorder="1" applyAlignment="1">
      <alignment horizontal="center" vertical="center"/>
    </xf>
    <xf numFmtId="2" fontId="6" fillId="39" borderId="39" xfId="0" applyNumberFormat="1" applyFont="1" applyFill="1" applyBorder="1" applyAlignment="1">
      <alignment horizontal="right" vertical="center"/>
    </xf>
    <xf numFmtId="0" fontId="6" fillId="39" borderId="4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left" vertical="center"/>
    </xf>
    <xf numFmtId="0" fontId="0" fillId="0" borderId="59" xfId="0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1" fillId="42" borderId="31" xfId="0" applyFont="1" applyFill="1" applyBorder="1" applyAlignment="1">
      <alignment vertical="center"/>
    </xf>
    <xf numFmtId="0" fontId="21" fillId="42" borderId="29" xfId="0" applyFont="1" applyFill="1" applyBorder="1" applyAlignment="1">
      <alignment vertical="center"/>
    </xf>
    <xf numFmtId="0" fontId="21" fillId="42" borderId="34" xfId="0" applyFont="1" applyFill="1" applyBorder="1" applyAlignment="1">
      <alignment vertical="center"/>
    </xf>
    <xf numFmtId="0" fontId="21" fillId="42" borderId="36" xfId="0" applyFont="1" applyFill="1" applyBorder="1" applyAlignment="1">
      <alignment vertical="center"/>
    </xf>
    <xf numFmtId="0" fontId="21" fillId="42" borderId="0" xfId="0" applyFont="1" applyFill="1" applyBorder="1" applyAlignment="1">
      <alignment vertical="center"/>
    </xf>
    <xf numFmtId="0" fontId="21" fillId="42" borderId="37" xfId="0" applyFont="1" applyFill="1" applyBorder="1" applyAlignment="1">
      <alignment vertical="center"/>
    </xf>
    <xf numFmtId="2" fontId="21" fillId="19" borderId="0" xfId="0" applyNumberFormat="1" applyFont="1" applyFill="1" applyBorder="1" applyAlignment="1">
      <alignment horizontal="center" vertical="center"/>
    </xf>
    <xf numFmtId="0" fontId="21" fillId="42" borderId="63" xfId="0" applyFont="1" applyFill="1" applyBorder="1" applyAlignment="1">
      <alignment vertical="center"/>
    </xf>
    <xf numFmtId="0" fontId="21" fillId="42" borderId="64" xfId="0" applyFont="1" applyFill="1" applyBorder="1" applyAlignment="1">
      <alignment vertical="center"/>
    </xf>
    <xf numFmtId="0" fontId="21" fillId="42" borderId="65" xfId="0" applyFont="1" applyFill="1" applyBorder="1" applyAlignment="1">
      <alignment vertical="center"/>
    </xf>
    <xf numFmtId="0" fontId="21" fillId="43" borderId="66" xfId="0" applyFont="1" applyFill="1" applyBorder="1" applyAlignment="1">
      <alignment vertical="center"/>
    </xf>
    <xf numFmtId="0" fontId="4" fillId="0" borderId="67" xfId="0" applyFont="1" applyFill="1" applyBorder="1" applyAlignment="1">
      <alignment horizontal="left" vertical="center"/>
    </xf>
    <xf numFmtId="0" fontId="0" fillId="36" borderId="40" xfId="0" applyFont="1" applyFill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1" fillId="0" borderId="42" xfId="0" applyFont="1" applyFill="1" applyBorder="1" applyAlignment="1">
      <alignment horizontal="center" vertical="center"/>
    </xf>
    <xf numFmtId="0" fontId="21" fillId="43" borderId="13" xfId="0" applyFont="1" applyFill="1" applyBorder="1" applyAlignment="1">
      <alignment vertical="center"/>
    </xf>
    <xf numFmtId="0" fontId="21" fillId="43" borderId="12" xfId="0" applyFont="1" applyFill="1" applyBorder="1" applyAlignment="1">
      <alignment vertical="center"/>
    </xf>
    <xf numFmtId="0" fontId="21" fillId="42" borderId="68" xfId="0" applyFont="1" applyFill="1" applyBorder="1" applyAlignment="1">
      <alignment vertical="center"/>
    </xf>
    <xf numFmtId="0" fontId="21" fillId="43" borderId="69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vertical="center"/>
    </xf>
    <xf numFmtId="2" fontId="39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0" fillId="32" borderId="43" xfId="0" applyNumberFormat="1" applyFont="1" applyFill="1" applyBorder="1" applyAlignment="1">
      <alignment vertical="center"/>
    </xf>
    <xf numFmtId="0" fontId="0" fillId="32" borderId="38" xfId="0" applyFont="1" applyFill="1" applyBorder="1" applyAlignment="1">
      <alignment horizontal="left" vertical="center"/>
    </xf>
    <xf numFmtId="0" fontId="12" fillId="0" borderId="39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  <xf numFmtId="181" fontId="0" fillId="44" borderId="39" xfId="0" applyNumberFormat="1" applyFont="1" applyFill="1" applyBorder="1" applyAlignment="1">
      <alignment vertical="center"/>
    </xf>
    <xf numFmtId="2" fontId="39" fillId="0" borderId="0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horizontal="center" vertical="center"/>
    </xf>
    <xf numFmtId="181" fontId="0" fillId="44" borderId="13" xfId="0" applyNumberFormat="1" applyFont="1" applyFill="1" applyBorder="1" applyAlignment="1">
      <alignment vertical="center"/>
    </xf>
    <xf numFmtId="181" fontId="6" fillId="13" borderId="43" xfId="0" applyNumberFormat="1" applyFont="1" applyFill="1" applyBorder="1" applyAlignment="1">
      <alignment vertical="center"/>
    </xf>
    <xf numFmtId="0" fontId="0" fillId="45" borderId="4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2" fontId="0" fillId="45" borderId="28" xfId="0" applyNumberFormat="1" applyFont="1" applyFill="1" applyBorder="1" applyAlignment="1">
      <alignment horizontal="center" vertical="center"/>
    </xf>
    <xf numFmtId="2" fontId="0" fillId="45" borderId="38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0" fontId="12" fillId="36" borderId="0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81" fontId="0" fillId="44" borderId="11" xfId="0" applyNumberFormat="1" applyFont="1" applyFill="1" applyBorder="1" applyAlignment="1">
      <alignment horizontal="right"/>
    </xf>
    <xf numFmtId="0" fontId="0" fillId="44" borderId="42" xfId="0" applyFont="1" applyFill="1" applyBorder="1" applyAlignment="1">
      <alignment horizontal="left"/>
    </xf>
    <xf numFmtId="0" fontId="13" fillId="36" borderId="0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3" xfId="0" applyFont="1" applyBorder="1" applyAlignment="1">
      <alignment horizontal="right" vertical="center"/>
    </xf>
    <xf numFmtId="2" fontId="0" fillId="46" borderId="2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96" fillId="0" borderId="11" xfId="0" applyFont="1" applyBorder="1" applyAlignment="1">
      <alignment horizontal="center" vertical="center"/>
    </xf>
    <xf numFmtId="0" fontId="94" fillId="36" borderId="0" xfId="0" applyFont="1" applyFill="1" applyBorder="1" applyAlignment="1">
      <alignment vertical="center"/>
    </xf>
    <xf numFmtId="2" fontId="94" fillId="45" borderId="43" xfId="0" applyNumberFormat="1" applyFont="1" applyFill="1" applyBorder="1" applyAlignment="1">
      <alignment horizontal="center" vertical="center"/>
    </xf>
    <xf numFmtId="0" fontId="94" fillId="0" borderId="28" xfId="0" applyFont="1" applyBorder="1" applyAlignment="1">
      <alignment horizontal="left" vertical="center"/>
    </xf>
    <xf numFmtId="2" fontId="94" fillId="45" borderId="28" xfId="0" applyNumberFormat="1" applyFont="1" applyFill="1" applyBorder="1" applyAlignment="1">
      <alignment horizontal="center" vertical="center"/>
    </xf>
    <xf numFmtId="0" fontId="94" fillId="0" borderId="28" xfId="0" applyFont="1" applyFill="1" applyBorder="1" applyAlignment="1">
      <alignment vertical="center"/>
    </xf>
    <xf numFmtId="2" fontId="94" fillId="12" borderId="10" xfId="0" applyNumberFormat="1" applyFont="1" applyFill="1" applyBorder="1" applyAlignment="1">
      <alignment horizontal="center" vertical="center"/>
    </xf>
    <xf numFmtId="0" fontId="94" fillId="0" borderId="42" xfId="0" applyFont="1" applyBorder="1" applyAlignment="1">
      <alignment vertical="center"/>
    </xf>
    <xf numFmtId="2" fontId="0" fillId="45" borderId="43" xfId="0" applyNumberFormat="1" applyFont="1" applyFill="1" applyBorder="1" applyAlignment="1">
      <alignment horizontal="right" vertical="center"/>
    </xf>
    <xf numFmtId="2" fontId="0" fillId="46" borderId="38" xfId="0" applyNumberFormat="1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36" borderId="12" xfId="0" applyFont="1" applyFill="1" applyBorder="1" applyAlignment="1">
      <alignment vertical="center"/>
    </xf>
    <xf numFmtId="2" fontId="98" fillId="0" borderId="12" xfId="0" applyNumberFormat="1" applyFont="1" applyFill="1" applyBorder="1" applyAlignment="1">
      <alignment horizontal="left" vertical="center"/>
    </xf>
    <xf numFmtId="2" fontId="98" fillId="0" borderId="12" xfId="0" applyNumberFormat="1" applyFont="1" applyFill="1" applyBorder="1" applyAlignment="1">
      <alignment horizontal="right" vertical="center"/>
    </xf>
    <xf numFmtId="2" fontId="98" fillId="0" borderId="12" xfId="0" applyNumberFormat="1" applyFont="1" applyFill="1" applyBorder="1" applyAlignment="1">
      <alignment horizontal="center" vertical="center"/>
    </xf>
    <xf numFmtId="0" fontId="97" fillId="0" borderId="12" xfId="0" applyFont="1" applyBorder="1" applyAlignment="1">
      <alignment vertical="center"/>
    </xf>
    <xf numFmtId="0" fontId="97" fillId="0" borderId="12" xfId="0" applyFont="1" applyFill="1" applyBorder="1" applyAlignment="1">
      <alignment vertical="center"/>
    </xf>
    <xf numFmtId="0" fontId="97" fillId="0" borderId="45" xfId="0" applyFont="1" applyBorder="1" applyAlignment="1">
      <alignment vertical="center"/>
    </xf>
    <xf numFmtId="2" fontId="0" fillId="0" borderId="42" xfId="0" applyNumberFormat="1" applyFont="1" applyFill="1" applyBorder="1" applyAlignment="1">
      <alignment horizontal="center" vertical="center"/>
    </xf>
    <xf numFmtId="0" fontId="4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45" borderId="43" xfId="0" applyNumberFormat="1" applyFont="1" applyFill="1" applyBorder="1" applyAlignment="1">
      <alignment vertical="center"/>
    </xf>
    <xf numFmtId="10" fontId="0" fillId="0" borderId="38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2" fontId="99" fillId="45" borderId="28" xfId="0" applyNumberFormat="1" applyFont="1" applyFill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42" xfId="0" applyNumberFormat="1" applyFont="1" applyBorder="1" applyAlignment="1">
      <alignment vertical="center"/>
    </xf>
    <xf numFmtId="0" fontId="97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2" fontId="0" fillId="0" borderId="38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top"/>
    </xf>
    <xf numFmtId="0" fontId="95" fillId="0" borderId="0" xfId="0" applyFont="1" applyBorder="1" applyAlignment="1">
      <alignment horizontal="center" wrapText="1"/>
    </xf>
    <xf numFmtId="2" fontId="0" fillId="45" borderId="43" xfId="0" applyNumberFormat="1" applyFont="1" applyFill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192" fontId="0" fillId="0" borderId="43" xfId="69" applyNumberFormat="1" applyFont="1" applyBorder="1" applyAlignment="1">
      <alignment vertical="center"/>
    </xf>
    <xf numFmtId="192" fontId="0" fillId="0" borderId="0" xfId="69" applyNumberFormat="1" applyFont="1" applyBorder="1" applyAlignment="1">
      <alignment vertical="center"/>
    </xf>
    <xf numFmtId="192" fontId="0" fillId="0" borderId="43" xfId="69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18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2" fontId="6" fillId="13" borderId="43" xfId="0" applyNumberFormat="1" applyFont="1" applyFill="1" applyBorder="1" applyAlignment="1">
      <alignment horizontal="right" vertical="center"/>
    </xf>
    <xf numFmtId="2" fontId="6" fillId="13" borderId="38" xfId="0" applyNumberFormat="1" applyFont="1" applyFill="1" applyBorder="1" applyAlignment="1">
      <alignment horizontal="right" vertical="center"/>
    </xf>
    <xf numFmtId="0" fontId="34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3" fontId="10" fillId="0" borderId="0" xfId="0" applyNumberFormat="1" applyFont="1" applyBorder="1" applyAlignment="1">
      <alignment horizontal="left" vertical="center"/>
    </xf>
    <xf numFmtId="182" fontId="10" fillId="0" borderId="70" xfId="0" applyNumberFormat="1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left" vertical="center" wrapText="1"/>
    </xf>
    <xf numFmtId="4" fontId="10" fillId="0" borderId="70" xfId="51" applyNumberFormat="1" applyFont="1" applyFill="1" applyBorder="1" applyAlignment="1">
      <alignment vertical="center"/>
      <protection/>
    </xf>
    <xf numFmtId="182" fontId="10" fillId="0" borderId="46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 wrapText="1"/>
    </xf>
    <xf numFmtId="4" fontId="10" fillId="0" borderId="46" xfId="51" applyNumberFormat="1" applyFont="1" applyFill="1" applyBorder="1" applyAlignment="1">
      <alignment vertical="center"/>
      <protection/>
    </xf>
    <xf numFmtId="182" fontId="10" fillId="0" borderId="15" xfId="0" applyNumberFormat="1" applyFont="1" applyFill="1" applyBorder="1" applyAlignment="1" quotePrefix="1">
      <alignment horizontal="center" vertical="center"/>
    </xf>
    <xf numFmtId="0" fontId="10" fillId="0" borderId="45" xfId="0" applyFont="1" applyFill="1" applyBorder="1" applyAlignment="1">
      <alignment horizontal="left" vertical="center" wrapText="1"/>
    </xf>
    <xf numFmtId="4" fontId="10" fillId="0" borderId="15" xfId="51" applyNumberFormat="1" applyFont="1" applyFill="1" applyBorder="1" applyAlignment="1">
      <alignment vertical="center"/>
      <protection/>
    </xf>
    <xf numFmtId="182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left" vertical="center"/>
    </xf>
    <xf numFmtId="177" fontId="100" fillId="0" borderId="0" xfId="60" applyFont="1" applyFill="1" applyAlignment="1">
      <alignment vertical="center"/>
    </xf>
    <xf numFmtId="39" fontId="101" fillId="0" borderId="0" xfId="0" applyNumberFormat="1" applyFont="1" applyAlignment="1">
      <alignment vertical="center"/>
    </xf>
    <xf numFmtId="10" fontId="0" fillId="0" borderId="72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66" fontId="6" fillId="0" borderId="73" xfId="0" applyNumberFormat="1" applyFont="1" applyBorder="1" applyAlignment="1" applyProtection="1">
      <alignment vertical="center"/>
      <protection/>
    </xf>
    <xf numFmtId="166" fontId="6" fillId="0" borderId="74" xfId="0" applyNumberFormat="1" applyFont="1" applyBorder="1" applyAlignment="1" applyProtection="1">
      <alignment vertical="center"/>
      <protection/>
    </xf>
    <xf numFmtId="166" fontId="0" fillId="46" borderId="75" xfId="0" applyNumberFormat="1" applyFont="1" applyFill="1" applyBorder="1" applyAlignment="1">
      <alignment horizontal="center" vertical="center"/>
    </xf>
    <xf numFmtId="166" fontId="0" fillId="46" borderId="76" xfId="0" applyNumberFormat="1" applyFont="1" applyFill="1" applyBorder="1" applyAlignment="1">
      <alignment horizontal="center" vertical="center"/>
    </xf>
    <xf numFmtId="0" fontId="24" fillId="0" borderId="36" xfId="53" applyFont="1" applyBorder="1" applyAlignment="1">
      <alignment vertical="center"/>
      <protection/>
    </xf>
    <xf numFmtId="0" fontId="31" fillId="34" borderId="0" xfId="0" applyFont="1" applyFill="1" applyBorder="1" applyAlignment="1">
      <alignment horizontal="left" vertical="center"/>
    </xf>
    <xf numFmtId="0" fontId="31" fillId="34" borderId="0" xfId="0" applyFont="1" applyFill="1" applyBorder="1" applyAlignment="1">
      <alignment/>
    </xf>
    <xf numFmtId="0" fontId="31" fillId="34" borderId="37" xfId="0" applyFont="1" applyFill="1" applyBorder="1" applyAlignment="1">
      <alignment/>
    </xf>
    <xf numFmtId="182" fontId="15" fillId="0" borderId="0" xfId="0" applyNumberFormat="1" applyFont="1" applyBorder="1" applyAlignment="1">
      <alignment horizontal="center" vertical="center"/>
    </xf>
    <xf numFmtId="186" fontId="7" fillId="0" borderId="0" xfId="69" applyNumberFormat="1" applyFont="1" applyFill="1" applyBorder="1" applyAlignment="1">
      <alignment vertical="center"/>
    </xf>
    <xf numFmtId="4" fontId="7" fillId="0" borderId="0" xfId="69" applyNumberFormat="1" applyFont="1" applyFill="1" applyBorder="1" applyAlignment="1">
      <alignment vertical="center"/>
    </xf>
    <xf numFmtId="0" fontId="10" fillId="0" borderId="0" xfId="51" applyFont="1" applyFill="1" applyAlignment="1">
      <alignment horizontal="right" vertical="center"/>
      <protection/>
    </xf>
    <xf numFmtId="183" fontId="10" fillId="0" borderId="0" xfId="51" applyNumberFormat="1" applyFont="1" applyFill="1" applyAlignment="1">
      <alignment horizontal="left" vertical="center"/>
      <protection/>
    </xf>
    <xf numFmtId="4" fontId="10" fillId="0" borderId="0" xfId="0" applyNumberFormat="1" applyFont="1" applyFill="1" applyAlignment="1">
      <alignment vertical="center"/>
    </xf>
    <xf numFmtId="10" fontId="10" fillId="0" borderId="0" xfId="51" applyNumberFormat="1" applyFont="1" applyFill="1" applyAlignment="1">
      <alignment horizontal="left" vertical="center"/>
      <protection/>
    </xf>
    <xf numFmtId="0" fontId="32" fillId="47" borderId="77" xfId="0" applyFont="1" applyFill="1" applyBorder="1" applyAlignment="1">
      <alignment vertical="center"/>
    </xf>
    <xf numFmtId="0" fontId="31" fillId="47" borderId="78" xfId="0" applyFont="1" applyFill="1" applyBorder="1" applyAlignment="1">
      <alignment/>
    </xf>
    <xf numFmtId="186" fontId="15" fillId="0" borderId="0" xfId="51" applyNumberFormat="1" applyFont="1" applyFill="1" applyAlignment="1">
      <alignment horizontal="center" vertical="center"/>
      <protection/>
    </xf>
    <xf numFmtId="10" fontId="31" fillId="0" borderId="0" xfId="0" applyNumberFormat="1" applyFont="1" applyAlignment="1">
      <alignment/>
    </xf>
    <xf numFmtId="4" fontId="102" fillId="0" borderId="0" xfId="51" applyNumberFormat="1" applyFont="1" applyFill="1" applyAlignment="1">
      <alignment vertical="center"/>
      <protection/>
    </xf>
    <xf numFmtId="4" fontId="31" fillId="0" borderId="0" xfId="0" applyNumberFormat="1" applyFont="1" applyAlignment="1">
      <alignment/>
    </xf>
    <xf numFmtId="0" fontId="0" fillId="0" borderId="0" xfId="0" applyBorder="1" applyAlignment="1">
      <alignment vertical="top"/>
    </xf>
    <xf numFmtId="0" fontId="0" fillId="0" borderId="0" xfId="51" applyNumberFormat="1" applyFont="1" applyFill="1" applyBorder="1" applyAlignment="1">
      <alignment horizontal="justify" vertical="top"/>
      <protection/>
    </xf>
    <xf numFmtId="4" fontId="4" fillId="0" borderId="0" xfId="51" applyNumberFormat="1" applyFont="1" applyFill="1" applyBorder="1" applyAlignment="1">
      <alignment/>
      <protection/>
    </xf>
    <xf numFmtId="177" fontId="0" fillId="0" borderId="0" xfId="6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0" fillId="48" borderId="0" xfId="51" applyNumberFormat="1" applyFont="1" applyFill="1" applyBorder="1" applyAlignment="1">
      <alignment horizontal="justify" vertical="center"/>
      <protection/>
    </xf>
    <xf numFmtId="3" fontId="10" fillId="48" borderId="0" xfId="51" applyNumberFormat="1" applyFont="1" applyFill="1" applyBorder="1" applyAlignment="1">
      <alignment vertical="center"/>
      <protection/>
    </xf>
    <xf numFmtId="0" fontId="15" fillId="10" borderId="10" xfId="0" applyFont="1" applyFill="1" applyBorder="1" applyAlignment="1">
      <alignment vertical="center"/>
    </xf>
    <xf numFmtId="0" fontId="7" fillId="10" borderId="10" xfId="51" applyNumberFormat="1" applyFont="1" applyFill="1" applyBorder="1" applyAlignment="1">
      <alignment horizontal="justify" vertical="center"/>
      <protection/>
    </xf>
    <xf numFmtId="4" fontId="15" fillId="10" borderId="10" xfId="51" applyNumberFormat="1" applyFont="1" applyFill="1" applyBorder="1" applyAlignment="1">
      <alignment vertical="center"/>
      <protection/>
    </xf>
    <xf numFmtId="49" fontId="15" fillId="10" borderId="73" xfId="0" applyNumberFormat="1" applyFont="1" applyFill="1" applyBorder="1" applyAlignment="1" applyProtection="1">
      <alignment horizontal="center" vertical="center"/>
      <protection/>
    </xf>
    <xf numFmtId="0" fontId="6" fillId="10" borderId="79" xfId="0" applyFont="1" applyFill="1" applyBorder="1" applyAlignment="1" applyProtection="1">
      <alignment horizontal="left" vertical="center"/>
      <protection/>
    </xf>
    <xf numFmtId="0" fontId="6" fillId="10" borderId="80" xfId="0" applyFont="1" applyFill="1" applyBorder="1" applyAlignment="1">
      <alignment vertical="center"/>
    </xf>
    <xf numFmtId="0" fontId="6" fillId="10" borderId="12" xfId="0" applyFont="1" applyFill="1" applyBorder="1" applyAlignment="1">
      <alignment vertical="center"/>
    </xf>
    <xf numFmtId="0" fontId="6" fillId="10" borderId="81" xfId="0" applyFont="1" applyFill="1" applyBorder="1" applyAlignment="1">
      <alignment vertical="center"/>
    </xf>
    <xf numFmtId="0" fontId="6" fillId="10" borderId="82" xfId="0" applyFont="1" applyFill="1" applyBorder="1" applyAlignment="1">
      <alignment vertical="center"/>
    </xf>
    <xf numFmtId="10" fontId="0" fillId="10" borderId="83" xfId="0" applyNumberFormat="1" applyFont="1" applyFill="1" applyBorder="1" applyAlignment="1" applyProtection="1">
      <alignment horizontal="right" vertical="center"/>
      <protection/>
    </xf>
    <xf numFmtId="10" fontId="0" fillId="10" borderId="15" xfId="0" applyNumberFormat="1" applyFont="1" applyFill="1" applyBorder="1" applyAlignment="1" applyProtection="1">
      <alignment horizontal="right" vertical="center"/>
      <protection/>
    </xf>
    <xf numFmtId="39" fontId="0" fillId="33" borderId="83" xfId="0" applyNumberFormat="1" applyFont="1" applyFill="1" applyBorder="1" applyAlignment="1">
      <alignment horizontal="center" vertical="center"/>
    </xf>
    <xf numFmtId="181" fontId="103" fillId="0" borderId="0" xfId="0" applyNumberFormat="1" applyFont="1" applyAlignment="1">
      <alignment vertical="center"/>
    </xf>
    <xf numFmtId="49" fontId="15" fillId="10" borderId="84" xfId="0" applyNumberFormat="1" applyFont="1" applyFill="1" applyBorder="1" applyAlignment="1" applyProtection="1">
      <alignment horizontal="center" vertical="center"/>
      <protection/>
    </xf>
    <xf numFmtId="10" fontId="0" fillId="33" borderId="85" xfId="55" applyNumberFormat="1" applyFont="1" applyFill="1" applyBorder="1" applyAlignment="1" applyProtection="1">
      <alignment horizontal="center" vertical="center"/>
      <protection/>
    </xf>
    <xf numFmtId="166" fontId="0" fillId="46" borderId="86" xfId="0" applyNumberFormat="1" applyFont="1" applyFill="1" applyBorder="1" applyAlignment="1">
      <alignment horizontal="center" vertical="center"/>
    </xf>
    <xf numFmtId="10" fontId="0" fillId="33" borderId="87" xfId="55" applyNumberFormat="1" applyFont="1" applyFill="1" applyBorder="1" applyAlignment="1" applyProtection="1">
      <alignment horizontal="center" vertical="center"/>
      <protection/>
    </xf>
    <xf numFmtId="10" fontId="0" fillId="33" borderId="46" xfId="55" applyNumberFormat="1" applyFont="1" applyFill="1" applyBorder="1" applyAlignment="1" applyProtection="1">
      <alignment horizontal="center" vertical="center"/>
      <protection/>
    </xf>
    <xf numFmtId="166" fontId="0" fillId="46" borderId="15" xfId="0" applyNumberFormat="1" applyFont="1" applyFill="1" applyBorder="1" applyAlignment="1">
      <alignment horizontal="center" vertical="center"/>
    </xf>
    <xf numFmtId="10" fontId="0" fillId="33" borderId="88" xfId="55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>
      <alignment horizontal="right" vertical="center"/>
    </xf>
    <xf numFmtId="4" fontId="0" fillId="0" borderId="0" xfId="51" applyNumberFormat="1" applyFont="1" applyFill="1" applyAlignment="1">
      <alignment vertical="center"/>
      <protection/>
    </xf>
    <xf numFmtId="166" fontId="0" fillId="10" borderId="89" xfId="0" applyNumberFormat="1" applyFont="1" applyFill="1" applyBorder="1" applyAlignment="1" applyProtection="1">
      <alignment vertical="center"/>
      <protection/>
    </xf>
    <xf numFmtId="166" fontId="0" fillId="10" borderId="90" xfId="0" applyNumberFormat="1" applyFont="1" applyFill="1" applyBorder="1" applyAlignment="1" applyProtection="1">
      <alignment vertical="center"/>
      <protection/>
    </xf>
    <xf numFmtId="166" fontId="0" fillId="10" borderId="91" xfId="0" applyNumberFormat="1" applyFont="1" applyFill="1" applyBorder="1" applyAlignment="1" applyProtection="1">
      <alignment vertical="center"/>
      <protection/>
    </xf>
    <xf numFmtId="1" fontId="10" fillId="0" borderId="0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4" fillId="0" borderId="12" xfId="0" applyFont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left" vertical="center"/>
    </xf>
    <xf numFmtId="2" fontId="0" fillId="0" borderId="12" xfId="0" applyNumberFormat="1" applyFont="1" applyFill="1" applyBorder="1" applyAlignment="1">
      <alignment vertical="center"/>
    </xf>
    <xf numFmtId="2" fontId="0" fillId="0" borderId="4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51" applyNumberFormat="1" applyFont="1" applyFill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197" fontId="6" fillId="49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7" fillId="0" borderId="0" xfId="51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0" fontId="0" fillId="33" borderId="92" xfId="55" applyNumberFormat="1" applyFont="1" applyFill="1" applyBorder="1" applyAlignment="1" applyProtection="1">
      <alignment horizontal="center" vertical="center"/>
      <protection/>
    </xf>
    <xf numFmtId="10" fontId="0" fillId="33" borderId="93" xfId="55" applyNumberFormat="1" applyFont="1" applyFill="1" applyBorder="1" applyAlignment="1" applyProtection="1">
      <alignment horizontal="center" vertical="center"/>
      <protection/>
    </xf>
    <xf numFmtId="166" fontId="0" fillId="46" borderId="13" xfId="0" applyNumberFormat="1" applyFont="1" applyFill="1" applyBorder="1" applyAlignment="1">
      <alignment horizontal="center" vertical="center"/>
    </xf>
    <xf numFmtId="4" fontId="7" fillId="0" borderId="0" xfId="6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197" fontId="0" fillId="0" borderId="10" xfId="59" applyNumberFormat="1" applyFont="1" applyFill="1" applyBorder="1" applyAlignment="1">
      <alignment vertical="center"/>
    </xf>
    <xf numFmtId="0" fontId="0" fillId="0" borderId="61" xfId="0" applyFont="1" applyFill="1" applyBorder="1" applyAlignment="1" quotePrefix="1">
      <alignment horizontal="left" vertical="center"/>
    </xf>
    <xf numFmtId="182" fontId="14" fillId="0" borderId="94" xfId="0" applyNumberFormat="1" applyFont="1" applyFill="1" applyBorder="1" applyAlignment="1">
      <alignment horizontal="center" vertical="center"/>
    </xf>
    <xf numFmtId="0" fontId="0" fillId="0" borderId="94" xfId="0" applyFont="1" applyBorder="1" applyAlignment="1" quotePrefix="1">
      <alignment horizontal="center" vertical="center"/>
    </xf>
    <xf numFmtId="166" fontId="0" fillId="0" borderId="95" xfId="51" applyNumberFormat="1" applyFont="1" applyFill="1" applyBorder="1" applyAlignment="1">
      <alignment horizontal="right" vertical="center"/>
      <protection/>
    </xf>
    <xf numFmtId="0" fontId="0" fillId="0" borderId="94" xfId="0" applyBorder="1" applyAlignment="1">
      <alignment horizontal="center" vertical="center"/>
    </xf>
    <xf numFmtId="166" fontId="6" fillId="0" borderId="95" xfId="51" applyNumberFormat="1" applyFont="1" applyFill="1" applyBorder="1" applyAlignment="1">
      <alignment vertical="center"/>
      <protection/>
    </xf>
    <xf numFmtId="166" fontId="0" fillId="0" borderId="95" xfId="51" applyNumberFormat="1" applyFont="1" applyFill="1" applyBorder="1" applyAlignment="1">
      <alignment vertical="center"/>
      <protection/>
    </xf>
    <xf numFmtId="0" fontId="14" fillId="0" borderId="94" xfId="0" applyFont="1" applyFill="1" applyBorder="1" applyAlignment="1">
      <alignment horizontal="center" vertical="center"/>
    </xf>
    <xf numFmtId="4" fontId="14" fillId="0" borderId="94" xfId="0" applyNumberFormat="1" applyFont="1" applyFill="1" applyBorder="1" applyAlignment="1">
      <alignment horizontal="right" vertical="center"/>
    </xf>
    <xf numFmtId="0" fontId="0" fillId="0" borderId="94" xfId="0" applyFont="1" applyBorder="1" applyAlignment="1" quotePrefix="1">
      <alignment vertical="center" wrapText="1"/>
    </xf>
    <xf numFmtId="166" fontId="6" fillId="0" borderId="96" xfId="51" applyNumberFormat="1" applyFont="1" applyFill="1" applyBorder="1" applyAlignment="1">
      <alignment vertical="center"/>
      <protection/>
    </xf>
    <xf numFmtId="0" fontId="0" fillId="0" borderId="67" xfId="0" applyFont="1" applyFill="1" applyBorder="1" applyAlignment="1">
      <alignment horizontal="center" vertical="center"/>
    </xf>
    <xf numFmtId="0" fontId="0" fillId="0" borderId="67" xfId="51" applyNumberFormat="1" applyFont="1" applyFill="1" applyBorder="1" applyAlignment="1">
      <alignment horizontal="center" vertical="center"/>
      <protection/>
    </xf>
    <xf numFmtId="4" fontId="0" fillId="0" borderId="67" xfId="0" applyNumberFormat="1" applyFont="1" applyFill="1" applyBorder="1" applyAlignment="1">
      <alignment vertical="center"/>
    </xf>
    <xf numFmtId="4" fontId="14" fillId="0" borderId="67" xfId="0" applyNumberFormat="1" applyFont="1" applyFill="1" applyBorder="1" applyAlignment="1">
      <alignment horizontal="right" vertical="center"/>
    </xf>
    <xf numFmtId="0" fontId="0" fillId="0" borderId="97" xfId="51" applyNumberFormat="1" applyFont="1" applyFill="1" applyBorder="1" applyAlignment="1">
      <alignment horizontal="center" vertical="center"/>
      <protection/>
    </xf>
    <xf numFmtId="4" fontId="0" fillId="0" borderId="97" xfId="0" applyNumberFormat="1" applyFont="1" applyFill="1" applyBorder="1" applyAlignment="1">
      <alignment vertical="center"/>
    </xf>
    <xf numFmtId="166" fontId="0" fillId="0" borderId="98" xfId="0" applyNumberFormat="1" applyFont="1" applyFill="1" applyBorder="1" applyAlignment="1">
      <alignment vertical="center"/>
    </xf>
    <xf numFmtId="0" fontId="6" fillId="0" borderId="67" xfId="0" applyFont="1" applyFill="1" applyBorder="1" applyAlignment="1">
      <alignment horizontal="right" vertical="center"/>
    </xf>
    <xf numFmtId="0" fontId="14" fillId="0" borderId="67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1" fontId="0" fillId="0" borderId="99" xfId="51" applyNumberFormat="1" applyFont="1" applyFill="1" applyBorder="1" applyAlignment="1">
      <alignment horizontal="center" vertical="center" wrapText="1"/>
      <protection/>
    </xf>
    <xf numFmtId="0" fontId="6" fillId="0" borderId="97" xfId="0" applyFont="1" applyFill="1" applyBorder="1" applyAlignment="1">
      <alignment horizontal="right" vertical="center"/>
    </xf>
    <xf numFmtId="0" fontId="14" fillId="36" borderId="9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10" fillId="0" borderId="0" xfId="69" applyNumberFormat="1" applyFont="1" applyFill="1" applyBorder="1" applyAlignment="1">
      <alignment horizontal="right" vertical="center"/>
    </xf>
    <xf numFmtId="166" fontId="0" fillId="0" borderId="0" xfId="51" applyNumberFormat="1" applyFont="1" applyFill="1" applyBorder="1" applyAlignment="1">
      <alignment vertical="center"/>
      <protection/>
    </xf>
    <xf numFmtId="4" fontId="7" fillId="0" borderId="0" xfId="69" applyNumberFormat="1" applyFont="1" applyFill="1" applyAlignment="1">
      <alignment horizontal="centerContinuous" vertical="center"/>
    </xf>
    <xf numFmtId="4" fontId="7" fillId="0" borderId="0" xfId="51" applyNumberFormat="1" applyFont="1" applyFill="1" applyAlignment="1">
      <alignment vertical="center"/>
      <protection/>
    </xf>
    <xf numFmtId="172" fontId="0" fillId="0" borderId="0" xfId="0" applyNumberFormat="1" applyAlignment="1">
      <alignment vertical="center"/>
    </xf>
    <xf numFmtId="187" fontId="7" fillId="0" borderId="0" xfId="51" applyNumberFormat="1" applyFont="1" applyFill="1" applyAlignment="1">
      <alignment horizontal="center" vertical="center"/>
      <protection/>
    </xf>
    <xf numFmtId="4" fontId="15" fillId="0" borderId="14" xfId="51" applyNumberFormat="1" applyFont="1" applyFill="1" applyBorder="1" applyAlignment="1">
      <alignment horizontal="center" vertical="center"/>
      <protection/>
    </xf>
    <xf numFmtId="197" fontId="10" fillId="0" borderId="0" xfId="69" applyNumberFormat="1" applyFont="1" applyFill="1" applyBorder="1" applyAlignment="1">
      <alignment horizontal="left" vertical="center"/>
    </xf>
    <xf numFmtId="4" fontId="101" fillId="0" borderId="0" xfId="0" applyNumberFormat="1" applyFont="1" applyFill="1" applyAlignment="1">
      <alignment vertical="center"/>
    </xf>
    <xf numFmtId="4" fontId="7" fillId="0" borderId="0" xfId="60" applyNumberFormat="1" applyFont="1" applyFill="1" applyBorder="1" applyAlignment="1">
      <alignment horizontal="centerContinuous" vertical="center"/>
    </xf>
    <xf numFmtId="49" fontId="15" fillId="0" borderId="11" xfId="51" applyNumberFormat="1" applyFont="1" applyFill="1" applyBorder="1" applyAlignment="1">
      <alignment horizontal="center" vertical="center"/>
      <protection/>
    </xf>
    <xf numFmtId="197" fontId="0" fillId="0" borderId="0" xfId="0" applyNumberFormat="1" applyFont="1" applyFill="1" applyAlignment="1">
      <alignment vertical="center"/>
    </xf>
    <xf numFmtId="0" fontId="9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 vertical="center"/>
    </xf>
    <xf numFmtId="0" fontId="0" fillId="0" borderId="0" xfId="51" applyNumberFormat="1" applyFont="1" applyFill="1" applyBorder="1" applyAlignment="1">
      <alignment vertical="center"/>
      <protection/>
    </xf>
    <xf numFmtId="0" fontId="0" fillId="0" borderId="0" xfId="51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0" fillId="44" borderId="0" xfId="51" applyNumberFormat="1" applyFont="1" applyFill="1" applyBorder="1" applyAlignment="1">
      <alignment horizontal="center" vertical="center"/>
      <protection/>
    </xf>
    <xf numFmtId="4" fontId="7" fillId="44" borderId="0" xfId="51" applyNumberFormat="1" applyFont="1" applyFill="1" applyBorder="1" applyAlignment="1">
      <alignment horizontal="center" vertical="center"/>
      <protection/>
    </xf>
    <xf numFmtId="4" fontId="0" fillId="0" borderId="0" xfId="51" applyNumberFormat="1" applyFont="1" applyFill="1" applyAlignment="1">
      <alignment horizontal="center" vertical="center"/>
      <protection/>
    </xf>
    <xf numFmtId="4" fontId="0" fillId="0" borderId="0" xfId="51" applyNumberFormat="1" applyFont="1" applyFill="1" applyAlignment="1">
      <alignment horizontal="center" vertical="center"/>
      <protection/>
    </xf>
    <xf numFmtId="0" fontId="0" fillId="0" borderId="0" xfId="51" applyNumberFormat="1" applyFont="1" applyFill="1" applyBorder="1" applyAlignment="1">
      <alignment horizontal="center" vertical="center"/>
      <protection/>
    </xf>
    <xf numFmtId="0" fontId="7" fillId="0" borderId="0" xfId="51" applyNumberFormat="1" applyFont="1" applyFill="1" applyAlignment="1">
      <alignment horizontal="center" vertical="center"/>
      <protection/>
    </xf>
    <xf numFmtId="4" fontId="0" fillId="0" borderId="0" xfId="60" applyNumberFormat="1" applyFont="1" applyFill="1" applyAlignment="1">
      <alignment horizontal="center" vertical="center"/>
    </xf>
    <xf numFmtId="0" fontId="0" fillId="0" borderId="0" xfId="51" applyNumberFormat="1" applyFont="1" applyFill="1" applyAlignment="1">
      <alignment horizontal="center" vertical="center"/>
      <protection/>
    </xf>
    <xf numFmtId="4" fontId="0" fillId="0" borderId="0" xfId="51" applyNumberFormat="1" applyFont="1" applyFill="1" applyAlignment="1">
      <alignment vertical="center"/>
      <protection/>
    </xf>
    <xf numFmtId="186" fontId="0" fillId="0" borderId="0" xfId="51" applyNumberFormat="1" applyFont="1" applyFill="1" applyAlignment="1">
      <alignment vertical="center"/>
      <protection/>
    </xf>
    <xf numFmtId="4" fontId="6" fillId="0" borderId="0" xfId="51" applyNumberFormat="1" applyFont="1" applyFill="1" applyAlignment="1">
      <alignment vertical="center"/>
      <protection/>
    </xf>
    <xf numFmtId="4" fontId="0" fillId="0" borderId="11" xfId="0" applyNumberFormat="1" applyFont="1" applyFill="1" applyBorder="1" applyAlignment="1">
      <alignment vertical="center"/>
    </xf>
    <xf numFmtId="204" fontId="0" fillId="0" borderId="43" xfId="0" applyNumberFormat="1" applyFont="1" applyFill="1" applyBorder="1" applyAlignment="1" quotePrefix="1">
      <alignment horizontal="left" vertical="center"/>
    </xf>
    <xf numFmtId="0" fontId="0" fillId="0" borderId="10" xfId="0" applyFont="1" applyFill="1" applyBorder="1" applyAlignment="1" quotePrefix="1">
      <alignment horizontal="left" vertical="center"/>
    </xf>
    <xf numFmtId="0" fontId="104" fillId="0" borderId="10" xfId="0" applyFont="1" applyFill="1" applyBorder="1" applyAlignment="1" quotePrefix="1">
      <alignment horizontal="left" vertical="center"/>
    </xf>
    <xf numFmtId="0" fontId="0" fillId="0" borderId="4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203" fontId="0" fillId="0" borderId="10" xfId="0" applyNumberFormat="1" applyFont="1" applyFill="1" applyBorder="1" applyAlignment="1" quotePrefix="1">
      <alignment horizontal="left" vertical="center"/>
    </xf>
    <xf numFmtId="0" fontId="0" fillId="0" borderId="10" xfId="0" applyFont="1" applyFill="1" applyBorder="1" applyAlignment="1" quotePrefix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86" fontId="0" fillId="0" borderId="10" xfId="59" applyNumberFormat="1" applyFont="1" applyFill="1" applyBorder="1" applyAlignment="1">
      <alignment horizontal="center" vertical="center"/>
    </xf>
    <xf numFmtId="203" fontId="0" fillId="36" borderId="10" xfId="0" applyNumberFormat="1" applyFont="1" applyFill="1" applyBorder="1" applyAlignment="1" quotePrefix="1">
      <alignment horizontal="left" vertical="center"/>
    </xf>
    <xf numFmtId="203" fontId="0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6" fontId="10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 quotePrefix="1">
      <alignment horizontal="center" vertical="center"/>
    </xf>
    <xf numFmtId="166" fontId="106" fillId="0" borderId="0" xfId="0" applyNumberFormat="1" applyFont="1" applyFill="1" applyBorder="1" applyAlignment="1">
      <alignment vertical="center"/>
    </xf>
    <xf numFmtId="49" fontId="16" fillId="0" borderId="0" xfId="51" applyNumberFormat="1" applyFont="1" applyFill="1" applyAlignment="1">
      <alignment horizontal="left" vertical="center"/>
      <protection/>
    </xf>
    <xf numFmtId="0" fontId="10" fillId="0" borderId="0" xfId="51" applyFont="1" applyFill="1" applyAlignment="1">
      <alignment horizontal="left" vertical="center"/>
      <protection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Fill="1" applyBorder="1" applyAlignment="1">
      <alignment horizontal="left" vertical="center"/>
    </xf>
    <xf numFmtId="7" fontId="0" fillId="0" borderId="0" xfId="51" applyNumberFormat="1" applyFont="1" applyFill="1" applyAlignment="1">
      <alignment vertical="center"/>
      <protection/>
    </xf>
    <xf numFmtId="185" fontId="14" fillId="13" borderId="94" xfId="0" applyNumberFormat="1" applyFont="1" applyFill="1" applyBorder="1" applyAlignment="1">
      <alignment horizontal="right" vertical="center"/>
    </xf>
    <xf numFmtId="0" fontId="0" fillId="0" borderId="100" xfId="0" applyFont="1" applyBorder="1" applyAlignment="1" quotePrefix="1">
      <alignment horizontal="center" vertical="center"/>
    </xf>
    <xf numFmtId="4" fontId="14" fillId="0" borderId="101" xfId="0" applyNumberFormat="1" applyFont="1" applyFill="1" applyBorder="1" applyAlignment="1">
      <alignment horizontal="right" vertical="center"/>
    </xf>
    <xf numFmtId="0" fontId="0" fillId="0" borderId="58" xfId="51" applyNumberFormat="1" applyFont="1" applyFill="1" applyBorder="1" applyAlignment="1">
      <alignment horizontal="center" vertical="center"/>
      <protection/>
    </xf>
    <xf numFmtId="4" fontId="14" fillId="13" borderId="94" xfId="0" applyNumberFormat="1" applyFont="1" applyFill="1" applyBorder="1" applyAlignment="1">
      <alignment horizontal="right" vertical="center"/>
    </xf>
    <xf numFmtId="0" fontId="0" fillId="13" borderId="94" xfId="51" applyNumberFormat="1" applyFont="1" applyFill="1" applyBorder="1" applyAlignment="1">
      <alignment horizontal="center" vertical="center"/>
      <protection/>
    </xf>
    <xf numFmtId="177" fontId="0" fillId="13" borderId="94" xfId="69" applyFont="1" applyFill="1" applyBorder="1" applyAlignment="1">
      <alignment vertical="center"/>
    </xf>
    <xf numFmtId="0" fontId="0" fillId="0" borderId="12" xfId="51" applyNumberFormat="1" applyFont="1" applyFill="1" applyBorder="1" applyAlignment="1">
      <alignment horizontal="center" vertical="center"/>
      <protection/>
    </xf>
    <xf numFmtId="0" fontId="0" fillId="0" borderId="44" xfId="0" applyFont="1" applyBorder="1" applyAlignment="1" quotePrefix="1">
      <alignment horizontal="center" vertical="center"/>
    </xf>
    <xf numFmtId="186" fontId="14" fillId="13" borderId="94" xfId="0" applyNumberFormat="1" applyFont="1" applyFill="1" applyBorder="1" applyAlignment="1">
      <alignment horizontal="right" vertical="center"/>
    </xf>
    <xf numFmtId="1" fontId="6" fillId="10" borderId="102" xfId="0" applyNumberFormat="1" applyFont="1" applyFill="1" applyBorder="1" applyAlignment="1">
      <alignment horizontal="center" vertical="center" wrapText="1"/>
    </xf>
    <xf numFmtId="182" fontId="11" fillId="10" borderId="103" xfId="0" applyNumberFormat="1" applyFont="1" applyFill="1" applyBorder="1" applyAlignment="1">
      <alignment horizontal="center" vertical="center"/>
    </xf>
    <xf numFmtId="0" fontId="11" fillId="10" borderId="103" xfId="0" applyFont="1" applyFill="1" applyBorder="1" applyAlignment="1">
      <alignment horizontal="left" vertical="center" wrapText="1"/>
    </xf>
    <xf numFmtId="0" fontId="11" fillId="10" borderId="103" xfId="0" applyFont="1" applyFill="1" applyBorder="1" applyAlignment="1">
      <alignment horizontal="center" vertical="center"/>
    </xf>
    <xf numFmtId="0" fontId="11" fillId="10" borderId="40" xfId="0" applyFont="1" applyFill="1" applyBorder="1" applyAlignment="1">
      <alignment horizontal="center" vertical="center"/>
    </xf>
    <xf numFmtId="4" fontId="11" fillId="10" borderId="103" xfId="0" applyNumberFormat="1" applyFont="1" applyFill="1" applyBorder="1" applyAlignment="1">
      <alignment vertical="center"/>
    </xf>
    <xf numFmtId="166" fontId="11" fillId="10" borderId="103" xfId="0" applyNumberFormat="1" applyFont="1" applyFill="1" applyBorder="1" applyAlignment="1">
      <alignment vertical="center"/>
    </xf>
    <xf numFmtId="166" fontId="0" fillId="10" borderId="104" xfId="0" applyNumberFormat="1" applyFont="1" applyFill="1" applyBorder="1" applyAlignment="1">
      <alignment vertical="center"/>
    </xf>
    <xf numFmtId="4" fontId="10" fillId="16" borderId="10" xfId="60" applyNumberFormat="1" applyFont="1" applyFill="1" applyBorder="1" applyAlignment="1">
      <alignment horizontal="center" vertical="center" wrapText="1"/>
    </xf>
    <xf numFmtId="4" fontId="10" fillId="16" borderId="10" xfId="51" applyNumberFormat="1" applyFont="1" applyFill="1" applyBorder="1" applyAlignment="1">
      <alignment horizontal="center" vertical="center" wrapText="1"/>
      <protection/>
    </xf>
    <xf numFmtId="0" fontId="15" fillId="16" borderId="10" xfId="0" applyFont="1" applyFill="1" applyBorder="1" applyAlignment="1">
      <alignment horizontal="left" vertical="center"/>
    </xf>
    <xf numFmtId="0" fontId="7" fillId="16" borderId="28" xfId="51" applyNumberFormat="1" applyFont="1" applyFill="1" applyBorder="1" applyAlignment="1">
      <alignment horizontal="center" vertical="center"/>
      <protection/>
    </xf>
    <xf numFmtId="0" fontId="7" fillId="16" borderId="10" xfId="51" applyNumberFormat="1" applyFont="1" applyFill="1" applyBorder="1" applyAlignment="1">
      <alignment horizontal="justify" vertical="center"/>
      <protection/>
    </xf>
    <xf numFmtId="0" fontId="7" fillId="16" borderId="10" xfId="51" applyNumberFormat="1" applyFont="1" applyFill="1" applyBorder="1" applyAlignment="1">
      <alignment horizontal="center" vertical="center"/>
      <protection/>
    </xf>
    <xf numFmtId="4" fontId="7" fillId="16" borderId="10" xfId="51" applyNumberFormat="1" applyFont="1" applyFill="1" applyBorder="1" applyAlignment="1">
      <alignment horizontal="center" vertical="center"/>
      <protection/>
    </xf>
    <xf numFmtId="182" fontId="11" fillId="10" borderId="67" xfId="0" applyNumberFormat="1" applyFont="1" applyFill="1" applyBorder="1" applyAlignment="1">
      <alignment horizontal="center" vertical="center"/>
    </xf>
    <xf numFmtId="0" fontId="11" fillId="10" borderId="67" xfId="0" applyFont="1" applyFill="1" applyBorder="1" applyAlignment="1">
      <alignment horizontal="left" vertical="center" wrapText="1"/>
    </xf>
    <xf numFmtId="0" fontId="0" fillId="10" borderId="67" xfId="51" applyNumberFormat="1" applyFont="1" applyFill="1" applyBorder="1" applyAlignment="1">
      <alignment horizontal="center" vertical="center"/>
      <protection/>
    </xf>
    <xf numFmtId="0" fontId="0" fillId="10" borderId="105" xfId="51" applyNumberFormat="1" applyFont="1" applyFill="1" applyBorder="1" applyAlignment="1">
      <alignment horizontal="center" vertical="center"/>
      <protection/>
    </xf>
    <xf numFmtId="4" fontId="11" fillId="10" borderId="67" xfId="0" applyNumberFormat="1" applyFont="1" applyFill="1" applyBorder="1" applyAlignment="1">
      <alignment vertical="center"/>
    </xf>
    <xf numFmtId="166" fontId="0" fillId="10" borderId="106" xfId="51" applyNumberFormat="1" applyFont="1" applyFill="1" applyBorder="1" applyAlignment="1">
      <alignment vertical="center"/>
      <protection/>
    </xf>
    <xf numFmtId="4" fontId="0" fillId="10" borderId="67" xfId="0" applyNumberFormat="1" applyFont="1" applyFill="1" applyBorder="1" applyAlignment="1">
      <alignment vertical="center"/>
    </xf>
    <xf numFmtId="3" fontId="11" fillId="50" borderId="0" xfId="0" applyNumberFormat="1" applyFont="1" applyFill="1" applyBorder="1" applyAlignment="1">
      <alignment horizontal="center" vertical="center"/>
    </xf>
    <xf numFmtId="186" fontId="14" fillId="0" borderId="0" xfId="0" applyNumberFormat="1" applyFont="1" applyFill="1" applyBorder="1" applyAlignment="1">
      <alignment horizontal="right" vertical="center"/>
    </xf>
    <xf numFmtId="186" fontId="41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177" fontId="0" fillId="0" borderId="0" xfId="69" applyFont="1" applyBorder="1" applyAlignment="1">
      <alignment vertical="center"/>
    </xf>
    <xf numFmtId="4" fontId="107" fillId="0" borderId="0" xfId="0" applyNumberFormat="1" applyFont="1" applyBorder="1" applyAlignment="1">
      <alignment horizontal="center" vertical="center"/>
    </xf>
    <xf numFmtId="4" fontId="108" fillId="0" borderId="0" xfId="0" applyNumberFormat="1" applyFont="1" applyFill="1" applyBorder="1" applyAlignment="1">
      <alignment horizontal="center" vertical="center"/>
    </xf>
    <xf numFmtId="4" fontId="109" fillId="0" borderId="0" xfId="0" applyNumberFormat="1" applyFont="1" applyFill="1" applyBorder="1" applyAlignment="1">
      <alignment horizontal="center" vertical="center"/>
    </xf>
    <xf numFmtId="4" fontId="110" fillId="0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4" fontId="108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111" fillId="0" borderId="0" xfId="0" applyFont="1" applyAlignment="1" quotePrefix="1">
      <alignment horizontal="left" vertical="center"/>
    </xf>
    <xf numFmtId="0" fontId="112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210" fontId="112" fillId="0" borderId="0" xfId="0" applyNumberFormat="1" applyFont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7" fillId="16" borderId="43" xfId="51" applyNumberFormat="1" applyFont="1" applyFill="1" applyBorder="1" applyAlignment="1">
      <alignment horizontal="center" vertical="center"/>
      <protection/>
    </xf>
    <xf numFmtId="166" fontId="15" fillId="16" borderId="38" xfId="51" applyNumberFormat="1" applyFont="1" applyFill="1" applyBorder="1" applyAlignment="1">
      <alignment vertical="center"/>
      <protection/>
    </xf>
    <xf numFmtId="0" fontId="111" fillId="0" borderId="0" xfId="0" applyFont="1" applyAlignment="1">
      <alignment horizontal="left" vertical="center"/>
    </xf>
    <xf numFmtId="0" fontId="112" fillId="0" borderId="0" xfId="0" applyFont="1" applyAlignment="1">
      <alignment horizontal="center" vertical="center" wrapText="1"/>
    </xf>
    <xf numFmtId="4" fontId="7" fillId="0" borderId="0" xfId="51" applyNumberFormat="1" applyFont="1" applyFill="1" applyBorder="1" applyAlignment="1">
      <alignment horizontal="center" vertical="center"/>
      <protection/>
    </xf>
    <xf numFmtId="0" fontId="0" fillId="36" borderId="107" xfId="0" applyFont="1" applyFill="1" applyBorder="1" applyAlignment="1" quotePrefix="1">
      <alignment horizontal="center" vertical="center"/>
    </xf>
    <xf numFmtId="0" fontId="0" fillId="36" borderId="107" xfId="0" applyFill="1" applyBorder="1" applyAlignment="1">
      <alignment horizontal="center" vertical="center"/>
    </xf>
    <xf numFmtId="0" fontId="0" fillId="0" borderId="107" xfId="0" applyFill="1" applyBorder="1" applyAlignment="1" quotePrefix="1">
      <alignment horizontal="center" vertical="center"/>
    </xf>
    <xf numFmtId="0" fontId="0" fillId="0" borderId="107" xfId="0" applyFill="1" applyBorder="1" applyAlignment="1">
      <alignment horizontal="center" vertical="center"/>
    </xf>
    <xf numFmtId="1" fontId="0" fillId="0" borderId="61" xfId="0" applyNumberFormat="1" applyFont="1" applyFill="1" applyBorder="1" applyAlignment="1">
      <alignment horizontal="center" vertical="center" wrapText="1"/>
    </xf>
    <xf numFmtId="1" fontId="0" fillId="10" borderId="61" xfId="0" applyNumberFormat="1" applyFont="1" applyFill="1" applyBorder="1" applyAlignment="1">
      <alignment horizontal="center" vertical="center" wrapText="1"/>
    </xf>
    <xf numFmtId="0" fontId="0" fillId="0" borderId="107" xfId="0" applyFont="1" applyFill="1" applyBorder="1" applyAlignment="1" quotePrefix="1">
      <alignment horizontal="center" vertical="center"/>
    </xf>
    <xf numFmtId="0" fontId="0" fillId="36" borderId="107" xfId="0" applyFont="1" applyFill="1" applyBorder="1" applyAlignment="1" quotePrefix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177" fontId="6" fillId="0" borderId="4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52" applyFont="1" applyFill="1" applyBorder="1">
      <alignment/>
      <protection/>
    </xf>
    <xf numFmtId="181" fontId="28" fillId="0" borderId="0" xfId="52" applyNumberFormat="1" applyFont="1" applyFill="1">
      <alignment/>
      <protection/>
    </xf>
    <xf numFmtId="0" fontId="0" fillId="0" borderId="0" xfId="52" applyFont="1" applyFill="1">
      <alignment/>
      <protection/>
    </xf>
    <xf numFmtId="0" fontId="23" fillId="0" borderId="0" xfId="52" applyFont="1" applyFill="1" applyBorder="1">
      <alignment/>
      <protection/>
    </xf>
    <xf numFmtId="10" fontId="0" fillId="33" borderId="108" xfId="56" applyNumberFormat="1" applyFont="1" applyFill="1" applyBorder="1" applyAlignment="1" applyProtection="1">
      <alignment horizontal="center" vertical="center"/>
      <protection/>
    </xf>
    <xf numFmtId="10" fontId="0" fillId="33" borderId="109" xfId="56" applyNumberFormat="1" applyFont="1" applyFill="1" applyBorder="1" applyAlignment="1" applyProtection="1">
      <alignment horizontal="center" vertical="center"/>
      <protection/>
    </xf>
    <xf numFmtId="10" fontId="0" fillId="33" borderId="87" xfId="56" applyNumberFormat="1" applyFont="1" applyFill="1" applyBorder="1" applyAlignment="1" applyProtection="1">
      <alignment horizontal="center" vertical="center"/>
      <protection/>
    </xf>
    <xf numFmtId="166" fontId="0" fillId="46" borderId="83" xfId="0" applyNumberFormat="1" applyFont="1" applyFill="1" applyBorder="1" applyAlignment="1">
      <alignment horizontal="center" vertical="center"/>
    </xf>
    <xf numFmtId="166" fontId="0" fillId="46" borderId="12" xfId="0" applyNumberFormat="1" applyFont="1" applyFill="1" applyBorder="1" applyAlignment="1">
      <alignment horizontal="center" vertical="center"/>
    </xf>
    <xf numFmtId="10" fontId="0" fillId="33" borderId="16" xfId="56" applyNumberFormat="1" applyFont="1" applyFill="1" applyBorder="1" applyAlignment="1" applyProtection="1">
      <alignment horizontal="center" vertical="center"/>
      <protection/>
    </xf>
    <xf numFmtId="10" fontId="0" fillId="33" borderId="14" xfId="56" applyNumberFormat="1" applyFont="1" applyFill="1" applyBorder="1" applyAlignment="1" applyProtection="1">
      <alignment horizontal="center" vertical="center"/>
      <protection/>
    </xf>
    <xf numFmtId="10" fontId="0" fillId="33" borderId="42" xfId="56" applyNumberFormat="1" applyFont="1" applyFill="1" applyBorder="1" applyAlignment="1" applyProtection="1">
      <alignment horizontal="center" vertical="center"/>
      <protection/>
    </xf>
    <xf numFmtId="10" fontId="0" fillId="33" borderId="46" xfId="56" applyNumberFormat="1" applyFont="1" applyFill="1" applyBorder="1" applyAlignment="1" applyProtection="1">
      <alignment horizontal="center" vertical="center"/>
      <protection/>
    </xf>
    <xf numFmtId="39" fontId="0" fillId="33" borderId="45" xfId="0" applyNumberFormat="1" applyFont="1" applyFill="1" applyBorder="1" applyAlignment="1">
      <alignment horizontal="center" vertical="center"/>
    </xf>
    <xf numFmtId="10" fontId="0" fillId="33" borderId="17" xfId="56" applyNumberFormat="1" applyFont="1" applyFill="1" applyBorder="1" applyAlignment="1" applyProtection="1">
      <alignment horizontal="center" vertical="center"/>
      <protection/>
    </xf>
    <xf numFmtId="10" fontId="0" fillId="33" borderId="41" xfId="56" applyNumberFormat="1" applyFont="1" applyFill="1" applyBorder="1" applyAlignment="1" applyProtection="1">
      <alignment horizontal="center" vertical="center"/>
      <protection/>
    </xf>
    <xf numFmtId="39" fontId="0" fillId="33" borderId="110" xfId="0" applyNumberFormat="1" applyFont="1" applyFill="1" applyBorder="1" applyAlignment="1">
      <alignment horizontal="center" vertical="center"/>
    </xf>
    <xf numFmtId="0" fontId="0" fillId="0" borderId="107" xfId="0" applyFont="1" applyFill="1" applyBorder="1" applyAlignment="1" quotePrefix="1">
      <alignment horizontal="center" vertical="center"/>
    </xf>
    <xf numFmtId="10" fontId="0" fillId="0" borderId="70" xfId="55" applyNumberFormat="1" applyFont="1" applyFill="1" applyBorder="1" applyAlignment="1" applyProtection="1">
      <alignment horizontal="center" vertical="center"/>
      <protection/>
    </xf>
    <xf numFmtId="166" fontId="0" fillId="0" borderId="15" xfId="0" applyNumberFormat="1" applyFont="1" applyFill="1" applyBorder="1" applyAlignment="1">
      <alignment horizontal="center" vertical="center"/>
    </xf>
    <xf numFmtId="10" fontId="0" fillId="0" borderId="14" xfId="55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97" fontId="105" fillId="0" borderId="0" xfId="59" applyNumberFormat="1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0" fontId="0" fillId="36" borderId="10" xfId="0" applyFont="1" applyFill="1" applyBorder="1" applyAlignment="1" quotePrefix="1">
      <alignment horizontal="left" vertical="center"/>
    </xf>
    <xf numFmtId="0" fontId="104" fillId="36" borderId="10" xfId="0" applyFont="1" applyFill="1" applyBorder="1" applyAlignment="1" quotePrefix="1">
      <alignment horizontal="left" vertical="center"/>
    </xf>
    <xf numFmtId="0" fontId="104" fillId="0" borderId="0" xfId="0" applyFont="1" applyFill="1" applyAlignment="1">
      <alignment vertical="center"/>
    </xf>
    <xf numFmtId="197" fontId="0" fillId="0" borderId="0" xfId="69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86" fontId="0" fillId="0" borderId="0" xfId="0" applyNumberFormat="1" applyFont="1" applyAlignment="1">
      <alignment vertical="center"/>
    </xf>
    <xf numFmtId="10" fontId="0" fillId="33" borderId="39" xfId="56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>
      <alignment vertical="center"/>
    </xf>
    <xf numFmtId="181" fontId="28" fillId="0" borderId="111" xfId="0" applyNumberFormat="1" applyFont="1" applyBorder="1" applyAlignment="1">
      <alignment vertical="center"/>
    </xf>
    <xf numFmtId="181" fontId="29" fillId="0" borderId="111" xfId="0" applyNumberFormat="1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10" fontId="28" fillId="0" borderId="36" xfId="0" applyNumberFormat="1" applyFont="1" applyBorder="1" applyAlignment="1">
      <alignment vertical="center"/>
    </xf>
    <xf numFmtId="39" fontId="94" fillId="0" borderId="36" xfId="0" applyNumberFormat="1" applyFont="1" applyBorder="1" applyAlignment="1">
      <alignment vertical="center"/>
    </xf>
    <xf numFmtId="39" fontId="29" fillId="0" borderId="36" xfId="0" applyNumberFormat="1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10" fontId="22" fillId="0" borderId="36" xfId="0" applyNumberFormat="1" applyFont="1" applyBorder="1" applyAlignment="1">
      <alignment vertical="center"/>
    </xf>
    <xf numFmtId="0" fontId="28" fillId="0" borderId="0" xfId="52" applyFont="1" applyFill="1" applyBorder="1">
      <alignment/>
      <protection/>
    </xf>
    <xf numFmtId="1" fontId="15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6" fillId="0" borderId="67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0" fillId="36" borderId="94" xfId="0" applyFont="1" applyFill="1" applyBorder="1" applyAlignment="1" quotePrefix="1">
      <alignment vertical="center" wrapText="1"/>
    </xf>
    <xf numFmtId="4" fontId="15" fillId="0" borderId="11" xfId="51" applyNumberFormat="1" applyFont="1" applyFill="1" applyBorder="1" applyAlignment="1">
      <alignment horizontal="center" vertical="center"/>
      <protection/>
    </xf>
    <xf numFmtId="1" fontId="0" fillId="0" borderId="0" xfId="51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111" fillId="0" borderId="28" xfId="0" applyNumberFormat="1" applyFont="1" applyFill="1" applyBorder="1" applyAlignment="1" quotePrefix="1">
      <alignment horizontal="left" vertical="center"/>
    </xf>
    <xf numFmtId="0" fontId="6" fillId="0" borderId="28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12" fillId="0" borderId="2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left" vertical="center"/>
    </xf>
    <xf numFmtId="10" fontId="6" fillId="0" borderId="38" xfId="0" applyNumberFormat="1" applyFont="1" applyFill="1" applyBorder="1" applyAlignment="1">
      <alignment horizontal="center" vertical="center"/>
    </xf>
    <xf numFmtId="197" fontId="0" fillId="0" borderId="15" xfId="59" applyNumberFormat="1" applyFont="1" applyFill="1" applyBorder="1" applyAlignment="1">
      <alignment vertical="center"/>
    </xf>
    <xf numFmtId="0" fontId="0" fillId="0" borderId="43" xfId="0" applyFont="1" applyFill="1" applyBorder="1" applyAlignment="1" quotePrefix="1">
      <alignment horizontal="left" vertical="center"/>
    </xf>
    <xf numFmtId="0" fontId="14" fillId="0" borderId="100" xfId="0" applyFont="1" applyFill="1" applyBorder="1" applyAlignment="1">
      <alignment horizontal="center" vertical="center"/>
    </xf>
    <xf numFmtId="0" fontId="0" fillId="0" borderId="101" xfId="0" applyFont="1" applyBorder="1" applyAlignment="1" quotePrefix="1">
      <alignment horizontal="center" vertical="center"/>
    </xf>
    <xf numFmtId="0" fontId="0" fillId="0" borderId="112" xfId="0" applyFont="1" applyBorder="1" applyAlignment="1" quotePrefix="1">
      <alignment vertical="center" wrapText="1"/>
    </xf>
    <xf numFmtId="0" fontId="0" fillId="0" borderId="44" xfId="0" applyFont="1" applyBorder="1" applyAlignment="1" quotePrefix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197" fontId="6" fillId="36" borderId="42" xfId="0" applyNumberFormat="1" applyFont="1" applyFill="1" applyBorder="1" applyAlignment="1">
      <alignment horizontal="right" vertical="center"/>
    </xf>
    <xf numFmtId="197" fontId="6" fillId="0" borderId="42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36" borderId="10" xfId="0" applyNumberFormat="1" applyFont="1" applyFill="1" applyBorder="1" applyAlignment="1">
      <alignment horizontal="center" vertical="center"/>
    </xf>
    <xf numFmtId="186" fontId="104" fillId="0" borderId="10" xfId="0" applyNumberFormat="1" applyFont="1" applyFill="1" applyBorder="1" applyAlignment="1">
      <alignment horizontal="center" vertical="center"/>
    </xf>
    <xf numFmtId="186" fontId="0" fillId="0" borderId="106" xfId="0" applyNumberFormat="1" applyFont="1" applyFill="1" applyBorder="1" applyAlignment="1">
      <alignment horizontal="center" vertical="center"/>
    </xf>
    <xf numFmtId="186" fontId="0" fillId="0" borderId="38" xfId="0" applyNumberFormat="1" applyFont="1" applyFill="1" applyBorder="1" applyAlignment="1">
      <alignment horizontal="center" vertical="center"/>
    </xf>
    <xf numFmtId="181" fontId="113" fillId="0" borderId="111" xfId="0" applyNumberFormat="1" applyFont="1" applyBorder="1" applyAlignment="1">
      <alignment vertical="center"/>
    </xf>
    <xf numFmtId="181" fontId="104" fillId="0" borderId="111" xfId="0" applyNumberFormat="1" applyFont="1" applyBorder="1" applyAlignment="1">
      <alignment vertical="center"/>
    </xf>
    <xf numFmtId="4" fontId="113" fillId="0" borderId="111" xfId="0" applyNumberFormat="1" applyFont="1" applyBorder="1" applyAlignment="1">
      <alignment vertical="center"/>
    </xf>
    <xf numFmtId="0" fontId="6" fillId="0" borderId="28" xfId="0" applyFont="1" applyFill="1" applyBorder="1" applyAlignment="1" quotePrefix="1">
      <alignment horizontal="right" vertical="center"/>
    </xf>
    <xf numFmtId="0" fontId="0" fillId="51" borderId="0" xfId="0" applyFont="1" applyFill="1" applyAlignment="1">
      <alignment vertical="center"/>
    </xf>
    <xf numFmtId="2" fontId="0" fillId="51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197" fontId="6" fillId="36" borderId="28" xfId="0" applyNumberFormat="1" applyFont="1" applyFill="1" applyBorder="1" applyAlignment="1">
      <alignment horizontal="right" vertical="center"/>
    </xf>
    <xf numFmtId="0" fontId="112" fillId="0" borderId="28" xfId="0" applyFont="1" applyFill="1" applyBorder="1" applyAlignment="1" quotePrefix="1">
      <alignment horizontal="center" vertical="center"/>
    </xf>
    <xf numFmtId="0" fontId="111" fillId="0" borderId="28" xfId="0" applyFont="1" applyBorder="1" applyAlignment="1">
      <alignment horizontal="center" vertical="center"/>
    </xf>
    <xf numFmtId="0" fontId="111" fillId="0" borderId="28" xfId="0" applyFont="1" applyBorder="1" applyAlignment="1">
      <alignment horizontal="left" vertical="center"/>
    </xf>
    <xf numFmtId="0" fontId="111" fillId="0" borderId="28" xfId="0" applyFont="1" applyFill="1" applyBorder="1" applyAlignment="1" quotePrefix="1">
      <alignment horizontal="center" vertical="center"/>
    </xf>
    <xf numFmtId="197" fontId="0" fillId="0" borderId="0" xfId="0" applyNumberFormat="1" applyFont="1" applyFill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11" fillId="0" borderId="28" xfId="0" applyFont="1" applyFill="1" applyBorder="1" applyAlignment="1">
      <alignment horizontal="left" vertical="center"/>
    </xf>
    <xf numFmtId="213" fontId="111" fillId="0" borderId="28" xfId="0" applyNumberFormat="1" applyFont="1" applyBorder="1" applyAlignment="1">
      <alignment horizontal="center" vertical="center"/>
    </xf>
    <xf numFmtId="210" fontId="112" fillId="49" borderId="28" xfId="0" applyNumberFormat="1" applyFont="1" applyFill="1" applyBorder="1" applyAlignment="1">
      <alignment horizontal="right" vertical="center"/>
    </xf>
    <xf numFmtId="210" fontId="111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4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" fontId="6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6" fillId="13" borderId="43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horizontal="center"/>
      <protection/>
    </xf>
    <xf numFmtId="10" fontId="0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0" fontId="0" fillId="33" borderId="102" xfId="56" applyNumberFormat="1" applyFont="1" applyFill="1" applyBorder="1" applyAlignment="1" applyProtection="1">
      <alignment horizontal="center" vertical="center"/>
      <protection/>
    </xf>
    <xf numFmtId="166" fontId="0" fillId="46" borderId="99" xfId="0" applyNumberFormat="1" applyFont="1" applyFill="1" applyBorder="1" applyAlignment="1">
      <alignment horizontal="center" vertical="center"/>
    </xf>
    <xf numFmtId="10" fontId="0" fillId="33" borderId="92" xfId="56" applyNumberFormat="1" applyFont="1" applyFill="1" applyBorder="1" applyAlignment="1" applyProtection="1">
      <alignment horizontal="center" vertical="center"/>
      <protection/>
    </xf>
    <xf numFmtId="39" fontId="0" fillId="46" borderId="99" xfId="0" applyNumberFormat="1" applyFont="1" applyFill="1" applyBorder="1" applyAlignment="1">
      <alignment horizontal="center" vertical="center"/>
    </xf>
    <xf numFmtId="49" fontId="15" fillId="10" borderId="113" xfId="0" applyNumberFormat="1" applyFont="1" applyFill="1" applyBorder="1" applyAlignment="1" applyProtection="1">
      <alignment horizontal="center" vertical="center"/>
      <protection/>
    </xf>
    <xf numFmtId="166" fontId="0" fillId="10" borderId="114" xfId="0" applyNumberFormat="1" applyFont="1" applyFill="1" applyBorder="1" applyAlignment="1" applyProtection="1">
      <alignment horizontal="center" vertical="center"/>
      <protection/>
    </xf>
    <xf numFmtId="166" fontId="6" fillId="0" borderId="113" xfId="0" applyNumberFormat="1" applyFont="1" applyBorder="1" applyAlignment="1" applyProtection="1">
      <alignment horizontal="center" vertical="center"/>
      <protection/>
    </xf>
    <xf numFmtId="10" fontId="6" fillId="0" borderId="115" xfId="0" applyNumberFormat="1" applyFont="1" applyBorder="1" applyAlignment="1" applyProtection="1">
      <alignment horizontal="center" vertical="center"/>
      <protection/>
    </xf>
    <xf numFmtId="49" fontId="15" fillId="10" borderId="18" xfId="0" applyNumberFormat="1" applyFont="1" applyFill="1" applyBorder="1" applyAlignment="1" applyProtection="1">
      <alignment horizontal="center" vertical="center"/>
      <protection/>
    </xf>
    <xf numFmtId="49" fontId="15" fillId="10" borderId="110" xfId="0" applyNumberFormat="1" applyFont="1" applyFill="1" applyBorder="1" applyAlignment="1" applyProtection="1">
      <alignment horizontal="center" vertical="center"/>
      <protection/>
    </xf>
    <xf numFmtId="49" fontId="15" fillId="10" borderId="19" xfId="0" applyNumberFormat="1" applyFont="1" applyFill="1" applyBorder="1" applyAlignment="1" applyProtection="1">
      <alignment horizontal="center" vertical="center"/>
      <protection/>
    </xf>
    <xf numFmtId="49" fontId="15" fillId="10" borderId="116" xfId="0" applyNumberFormat="1" applyFont="1" applyFill="1" applyBorder="1" applyAlignment="1" applyProtection="1">
      <alignment horizontal="center" vertical="center"/>
      <protection/>
    </xf>
    <xf numFmtId="49" fontId="15" fillId="10" borderId="117" xfId="0" applyNumberFormat="1" applyFont="1" applyFill="1" applyBorder="1" applyAlignment="1" applyProtection="1">
      <alignment horizontal="center" vertical="center"/>
      <protection/>
    </xf>
    <xf numFmtId="166" fontId="0" fillId="46" borderId="118" xfId="0" applyNumberFormat="1" applyFont="1" applyFill="1" applyBorder="1" applyAlignment="1">
      <alignment horizontal="center" vertical="center"/>
    </xf>
    <xf numFmtId="10" fontId="0" fillId="33" borderId="30" xfId="56" applyNumberFormat="1" applyFont="1" applyFill="1" applyBorder="1" applyAlignment="1" applyProtection="1">
      <alignment horizontal="center" vertical="center"/>
      <protection/>
    </xf>
    <xf numFmtId="10" fontId="0" fillId="33" borderId="119" xfId="56" applyNumberFormat="1" applyFont="1" applyFill="1" applyBorder="1" applyAlignment="1" applyProtection="1">
      <alignment horizontal="center" vertical="center"/>
      <protection/>
    </xf>
    <xf numFmtId="10" fontId="0" fillId="33" borderId="120" xfId="56" applyNumberFormat="1" applyFont="1" applyFill="1" applyBorder="1" applyAlignment="1" applyProtection="1">
      <alignment horizontal="center" vertical="center"/>
      <protection/>
    </xf>
    <xf numFmtId="10" fontId="0" fillId="33" borderId="121" xfId="56" applyNumberFormat="1" applyFont="1" applyFill="1" applyBorder="1" applyAlignment="1" applyProtection="1">
      <alignment horizontal="center" vertical="center"/>
      <protection/>
    </xf>
    <xf numFmtId="39" fontId="0" fillId="46" borderId="118" xfId="0" applyNumberFormat="1" applyFont="1" applyFill="1" applyBorder="1" applyAlignment="1">
      <alignment horizontal="center" vertical="center"/>
    </xf>
    <xf numFmtId="39" fontId="0" fillId="33" borderId="122" xfId="0" applyNumberFormat="1" applyFont="1" applyFill="1" applyBorder="1" applyAlignment="1">
      <alignment horizontal="center" vertical="center"/>
    </xf>
    <xf numFmtId="10" fontId="0" fillId="33" borderId="122" xfId="56" applyNumberFormat="1" applyFont="1" applyFill="1" applyBorder="1" applyAlignment="1" applyProtection="1">
      <alignment horizontal="center" vertical="center"/>
      <protection/>
    </xf>
    <xf numFmtId="166" fontId="0" fillId="10" borderId="123" xfId="0" applyNumberFormat="1" applyFont="1" applyFill="1" applyBorder="1" applyAlignment="1" applyProtection="1">
      <alignment horizontal="center" vertical="center"/>
      <protection/>
    </xf>
    <xf numFmtId="166" fontId="6" fillId="0" borderId="116" xfId="0" applyNumberFormat="1" applyFont="1" applyBorder="1" applyAlignment="1" applyProtection="1">
      <alignment horizontal="center" vertical="center"/>
      <protection/>
    </xf>
    <xf numFmtId="10" fontId="0" fillId="10" borderId="120" xfId="0" applyNumberFormat="1" applyFont="1" applyFill="1" applyBorder="1" applyAlignment="1" applyProtection="1">
      <alignment horizontal="right" vertical="center"/>
      <protection/>
    </xf>
    <xf numFmtId="10" fontId="6" fillId="0" borderId="124" xfId="0" applyNumberFormat="1" applyFont="1" applyBorder="1" applyAlignment="1" applyProtection="1">
      <alignment horizontal="center" vertical="center"/>
      <protection/>
    </xf>
    <xf numFmtId="166" fontId="14" fillId="0" borderId="94" xfId="0" applyNumberFormat="1" applyFont="1" applyFill="1" applyBorder="1" applyAlignment="1" applyProtection="1">
      <alignment horizontal="right" vertical="center"/>
      <protection locked="0"/>
    </xf>
    <xf numFmtId="166" fontId="14" fillId="0" borderId="101" xfId="0" applyNumberFormat="1" applyFont="1" applyFill="1" applyBorder="1" applyAlignment="1" applyProtection="1">
      <alignment horizontal="right" vertical="center"/>
      <protection locked="0"/>
    </xf>
    <xf numFmtId="166" fontId="14" fillId="10" borderId="67" xfId="0" applyNumberFormat="1" applyFont="1" applyFill="1" applyBorder="1" applyAlignment="1" applyProtection="1">
      <alignment horizontal="right" vertical="center"/>
      <protection locked="0"/>
    </xf>
    <xf numFmtId="166" fontId="14" fillId="0" borderId="67" xfId="0" applyNumberFormat="1" applyFont="1" applyFill="1" applyBorder="1" applyAlignment="1" applyProtection="1">
      <alignment horizontal="right" vertical="center"/>
      <protection locked="0"/>
    </xf>
    <xf numFmtId="1" fontId="0" fillId="0" borderId="0" xfId="51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7" fillId="0" borderId="0" xfId="69" applyNumberFormat="1" applyFont="1" applyFill="1" applyAlignment="1" applyProtection="1">
      <alignment horizontal="centerContinuous" vertical="center"/>
      <protection locked="0"/>
    </xf>
    <xf numFmtId="4" fontId="7" fillId="0" borderId="0" xfId="69" applyNumberFormat="1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Fill="1" applyAlignment="1" applyProtection="1">
      <alignment horizontal="centerContinuous" vertical="center"/>
      <protection locked="0"/>
    </xf>
    <xf numFmtId="1" fontId="0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97" fontId="6" fillId="0" borderId="0" xfId="51" applyNumberFormat="1" applyFont="1" applyFill="1" applyBorder="1" applyAlignment="1" applyProtection="1">
      <alignment vertical="center"/>
      <protection locked="0"/>
    </xf>
    <xf numFmtId="3" fontId="6" fillId="0" borderId="0" xfId="51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51" applyNumberFormat="1" applyFont="1" applyFill="1" applyAlignment="1" applyProtection="1">
      <alignment horizontal="justify" vertical="center"/>
      <protection locked="0"/>
    </xf>
    <xf numFmtId="0" fontId="0" fillId="0" borderId="0" xfId="51" applyNumberFormat="1" applyFont="1" applyFill="1" applyBorder="1" applyAlignment="1" applyProtection="1">
      <alignment horizontal="center" vertical="center"/>
      <protection locked="0"/>
    </xf>
    <xf numFmtId="4" fontId="0" fillId="0" borderId="0" xfId="51" applyNumberFormat="1" applyFont="1" applyFill="1" applyBorder="1" applyAlignment="1" applyProtection="1">
      <alignment horizontal="center" vertical="center"/>
      <protection locked="0"/>
    </xf>
    <xf numFmtId="4" fontId="0" fillId="0" borderId="0" xfId="51" applyNumberFormat="1" applyFont="1" applyFill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51" applyNumberFormat="1" applyFont="1" applyFill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4" fontId="0" fillId="0" borderId="0" xfId="51" applyNumberFormat="1" applyFont="1" applyFill="1" applyAlignment="1" applyProtection="1">
      <alignment horizontal="center" vertical="center"/>
      <protection locked="0"/>
    </xf>
    <xf numFmtId="4" fontId="0" fillId="0" borderId="0" xfId="60" applyNumberFormat="1" applyFont="1" applyFill="1" applyAlignment="1" applyProtection="1">
      <alignment horizontal="center" vertical="center"/>
      <protection locked="0"/>
    </xf>
    <xf numFmtId="198" fontId="0" fillId="36" borderId="10" xfId="47" applyNumberFormat="1" applyFill="1" applyBorder="1" applyAlignment="1" applyProtection="1">
      <alignment horizontal="center" vertical="center"/>
      <protection locked="0"/>
    </xf>
    <xf numFmtId="198" fontId="0" fillId="0" borderId="10" xfId="47" applyNumberFormat="1" applyFill="1" applyBorder="1" applyAlignment="1" applyProtection="1">
      <alignment horizontal="center" vertical="center"/>
      <protection locked="0"/>
    </xf>
    <xf numFmtId="197" fontId="104" fillId="36" borderId="10" xfId="59" applyNumberFormat="1" applyFont="1" applyFill="1" applyBorder="1" applyAlignment="1" applyProtection="1">
      <alignment horizontal="center" vertical="center"/>
      <protection locked="0"/>
    </xf>
    <xf numFmtId="197" fontId="104" fillId="0" borderId="10" xfId="69" applyNumberFormat="1" applyFont="1" applyFill="1" applyBorder="1" applyAlignment="1" applyProtection="1">
      <alignment horizontal="center" vertical="center"/>
      <protection locked="0"/>
    </xf>
    <xf numFmtId="197" fontId="104" fillId="36" borderId="15" xfId="59" applyNumberFormat="1" applyFont="1" applyFill="1" applyBorder="1" applyAlignment="1" applyProtection="1">
      <alignment horizontal="center" vertical="center"/>
      <protection locked="0"/>
    </xf>
    <xf numFmtId="2" fontId="112" fillId="0" borderId="12" xfId="0" applyNumberFormat="1" applyFont="1" applyBorder="1" applyAlignment="1" applyProtection="1">
      <alignment horizontal="center" vertical="center"/>
      <protection locked="0"/>
    </xf>
    <xf numFmtId="8" fontId="104" fillId="0" borderId="10" xfId="69" applyNumberFormat="1" applyFont="1" applyFill="1" applyBorder="1" applyAlignment="1" applyProtection="1">
      <alignment horizontal="center" vertical="center"/>
      <protection locked="0"/>
    </xf>
    <xf numFmtId="197" fontId="104" fillId="0" borderId="62" xfId="69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/>
      <protection locked="0"/>
    </xf>
    <xf numFmtId="1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1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0" fontId="0" fillId="0" borderId="29" xfId="0" applyNumberFormat="1" applyFont="1" applyBorder="1" applyAlignment="1" applyProtection="1">
      <alignment vertical="center"/>
      <protection locked="0"/>
    </xf>
    <xf numFmtId="10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" fontId="4" fillId="0" borderId="0" xfId="69" applyNumberFormat="1" applyFont="1" applyFill="1" applyAlignment="1" applyProtection="1">
      <alignment/>
      <protection locked="0"/>
    </xf>
    <xf numFmtId="4" fontId="4" fillId="0" borderId="0" xfId="69" applyNumberFormat="1" applyFont="1" applyFill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51" applyNumberFormat="1" applyFont="1" applyFill="1" applyAlignment="1" applyProtection="1">
      <alignment vertical="top"/>
      <protection locked="0"/>
    </xf>
    <xf numFmtId="4" fontId="4" fillId="0" borderId="0" xfId="51" applyNumberFormat="1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51" applyNumberFormat="1" applyFont="1" applyFill="1" applyBorder="1" applyAlignment="1" applyProtection="1">
      <alignment horizontal="justify" vertical="center"/>
      <protection locked="0"/>
    </xf>
    <xf numFmtId="4" fontId="10" fillId="0" borderId="0" xfId="51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51" applyNumberFormat="1" applyFont="1" applyFill="1" applyAlignment="1" applyProtection="1">
      <alignment horizontal="justify" vertical="top"/>
      <protection locked="0"/>
    </xf>
    <xf numFmtId="0" fontId="0" fillId="0" borderId="0" xfId="51" applyNumberFormat="1" applyFont="1" applyFill="1" applyBorder="1" applyAlignment="1" applyProtection="1">
      <alignment horizontal="justify" vertical="top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4" fontId="1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51" applyNumberFormat="1" applyFont="1" applyFill="1" applyBorder="1" applyAlignment="1">
      <alignment vertical="center"/>
      <protection/>
    </xf>
    <xf numFmtId="44" fontId="0" fillId="0" borderId="0" xfId="0" applyNumberFormat="1" applyBorder="1" applyAlignment="1">
      <alignment vertical="center"/>
    </xf>
    <xf numFmtId="0" fontId="114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4" fontId="93" fillId="0" borderId="0" xfId="51" applyNumberFormat="1" applyFont="1" applyFill="1" applyBorder="1" applyAlignment="1">
      <alignment vertical="center"/>
      <protection/>
    </xf>
    <xf numFmtId="0" fontId="93" fillId="0" borderId="0" xfId="0" applyFont="1" applyBorder="1" applyAlignment="1">
      <alignment vertical="center"/>
    </xf>
    <xf numFmtId="2" fontId="93" fillId="0" borderId="0" xfId="0" applyNumberFormat="1" applyFont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2" fontId="17" fillId="0" borderId="0" xfId="51" applyNumberFormat="1" applyFont="1" applyFill="1" applyAlignment="1">
      <alignment horizontal="center" vertical="center"/>
      <protection/>
    </xf>
    <xf numFmtId="0" fontId="10" fillId="10" borderId="14" xfId="51" applyNumberFormat="1" applyFont="1" applyFill="1" applyBorder="1" applyAlignment="1">
      <alignment horizontal="center" vertical="center"/>
      <protection/>
    </xf>
    <xf numFmtId="0" fontId="16" fillId="10" borderId="15" xfId="51" applyFont="1" applyFill="1" applyBorder="1" applyAlignment="1">
      <alignment horizontal="center" vertical="center"/>
      <protection/>
    </xf>
    <xf numFmtId="4" fontId="10" fillId="10" borderId="14" xfId="51" applyNumberFormat="1" applyFont="1" applyFill="1" applyBorder="1" applyAlignment="1">
      <alignment horizontal="center" vertical="center" wrapText="1"/>
      <protection/>
    </xf>
    <xf numFmtId="4" fontId="10" fillId="10" borderId="19" xfId="51" applyNumberFormat="1" applyFont="1" applyFill="1" applyBorder="1" applyAlignment="1">
      <alignment horizontal="center" vertical="center" wrapText="1"/>
      <protection/>
    </xf>
    <xf numFmtId="0" fontId="10" fillId="10" borderId="39" xfId="51" applyNumberFormat="1" applyFont="1" applyFill="1" applyBorder="1" applyAlignment="1">
      <alignment horizontal="center" vertical="center"/>
      <protection/>
    </xf>
    <xf numFmtId="0" fontId="10" fillId="10" borderId="40" xfId="51" applyNumberFormat="1" applyFont="1" applyFill="1" applyBorder="1" applyAlignment="1">
      <alignment horizontal="center" vertical="center"/>
      <protection/>
    </xf>
    <xf numFmtId="0" fontId="10" fillId="10" borderId="41" xfId="51" applyNumberFormat="1" applyFont="1" applyFill="1" applyBorder="1" applyAlignment="1">
      <alignment horizontal="center" vertical="center"/>
      <protection/>
    </xf>
    <xf numFmtId="0" fontId="10" fillId="10" borderId="117" xfId="51" applyNumberFormat="1" applyFont="1" applyFill="1" applyBorder="1" applyAlignment="1">
      <alignment horizontal="center" vertical="center"/>
      <protection/>
    </xf>
    <xf numFmtId="0" fontId="10" fillId="10" borderId="125" xfId="51" applyNumberFormat="1" applyFont="1" applyFill="1" applyBorder="1" applyAlignment="1">
      <alignment horizontal="center" vertical="center"/>
      <protection/>
    </xf>
    <xf numFmtId="0" fontId="10" fillId="10" borderId="110" xfId="51" applyNumberFormat="1" applyFont="1" applyFill="1" applyBorder="1" applyAlignment="1">
      <alignment horizontal="center" vertical="center"/>
      <protection/>
    </xf>
    <xf numFmtId="0" fontId="10" fillId="0" borderId="126" xfId="0" applyFont="1" applyFill="1" applyBorder="1" applyAlignment="1">
      <alignment horizontal="left" vertical="center" wrapText="1"/>
    </xf>
    <xf numFmtId="0" fontId="10" fillId="0" borderId="127" xfId="0" applyFont="1" applyFill="1" applyBorder="1" applyAlignment="1">
      <alignment horizontal="left" vertical="center" wrapText="1"/>
    </xf>
    <xf numFmtId="10" fontId="18" fillId="10" borderId="128" xfId="0" applyNumberFormat="1" applyFont="1" applyFill="1" applyBorder="1" applyAlignment="1" applyProtection="1">
      <alignment horizontal="center" vertical="center"/>
      <protection/>
    </xf>
    <xf numFmtId="10" fontId="18" fillId="10" borderId="72" xfId="0" applyNumberFormat="1" applyFont="1" applyFill="1" applyBorder="1" applyAlignment="1" applyProtection="1">
      <alignment horizontal="center" vertical="center"/>
      <protection/>
    </xf>
    <xf numFmtId="179" fontId="6" fillId="0" borderId="129" xfId="0" applyNumberFormat="1" applyFont="1" applyBorder="1" applyAlignment="1" applyProtection="1">
      <alignment horizontal="center" vertical="center"/>
      <protection/>
    </xf>
    <xf numFmtId="179" fontId="6" fillId="0" borderId="130" xfId="0" applyNumberFormat="1" applyFont="1" applyBorder="1" applyAlignment="1" applyProtection="1">
      <alignment horizontal="center" vertical="center"/>
      <protection/>
    </xf>
    <xf numFmtId="166" fontId="6" fillId="0" borderId="131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0" fontId="10" fillId="10" borderId="132" xfId="0" applyFont="1" applyFill="1" applyBorder="1" applyAlignment="1" applyProtection="1">
      <alignment horizontal="center" vertical="center"/>
      <protection/>
    </xf>
    <xf numFmtId="0" fontId="10" fillId="10" borderId="133" xfId="0" applyFont="1" applyFill="1" applyBorder="1" applyAlignment="1" applyProtection="1">
      <alignment horizontal="center" vertical="center"/>
      <protection/>
    </xf>
    <xf numFmtId="0" fontId="10" fillId="10" borderId="31" xfId="0" applyFont="1" applyFill="1" applyBorder="1" applyAlignment="1" applyProtection="1" quotePrefix="1">
      <alignment horizontal="center" vertical="center"/>
      <protection/>
    </xf>
    <xf numFmtId="0" fontId="10" fillId="10" borderId="29" xfId="0" applyFont="1" applyFill="1" applyBorder="1" applyAlignment="1" applyProtection="1" quotePrefix="1">
      <alignment horizontal="center" vertical="center"/>
      <protection/>
    </xf>
    <xf numFmtId="0" fontId="10" fillId="10" borderId="34" xfId="0" applyFont="1" applyFill="1" applyBorder="1" applyAlignment="1" applyProtection="1" quotePrefix="1">
      <alignment horizontal="center" vertical="center"/>
      <protection/>
    </xf>
    <xf numFmtId="0" fontId="10" fillId="10" borderId="134" xfId="0" applyFont="1" applyFill="1" applyBorder="1" applyAlignment="1" applyProtection="1" quotePrefix="1">
      <alignment horizontal="center" vertical="center"/>
      <protection/>
    </xf>
    <xf numFmtId="0" fontId="10" fillId="10" borderId="125" xfId="0" applyFont="1" applyFill="1" applyBorder="1" applyAlignment="1" applyProtection="1" quotePrefix="1">
      <alignment horizontal="center" vertical="center"/>
      <protection/>
    </xf>
    <xf numFmtId="0" fontId="10" fillId="10" borderId="135" xfId="0" applyFont="1" applyFill="1" applyBorder="1" applyAlignment="1" applyProtection="1" quotePrefix="1">
      <alignment horizontal="center" vertical="center"/>
      <protection/>
    </xf>
    <xf numFmtId="10" fontId="10" fillId="10" borderId="136" xfId="0" applyNumberFormat="1" applyFont="1" applyFill="1" applyBorder="1" applyAlignment="1" applyProtection="1">
      <alignment horizontal="center" vertical="center"/>
      <protection/>
    </xf>
    <xf numFmtId="10" fontId="10" fillId="10" borderId="137" xfId="0" applyNumberFormat="1" applyFont="1" applyFill="1" applyBorder="1" applyAlignment="1" applyProtection="1">
      <alignment horizontal="center" vertical="center"/>
      <protection/>
    </xf>
    <xf numFmtId="0" fontId="10" fillId="10" borderId="138" xfId="0" applyFont="1" applyFill="1" applyBorder="1" applyAlignment="1" applyProtection="1">
      <alignment horizontal="center" vertical="center" wrapText="1"/>
      <protection/>
    </xf>
    <xf numFmtId="0" fontId="10" fillId="10" borderId="139" xfId="0" applyFont="1" applyFill="1" applyBorder="1" applyAlignment="1" applyProtection="1">
      <alignment horizontal="center" vertical="center" wrapText="1"/>
      <protection/>
    </xf>
    <xf numFmtId="0" fontId="6" fillId="0" borderId="140" xfId="0" applyFont="1" applyFill="1" applyBorder="1" applyAlignment="1" applyProtection="1">
      <alignment horizontal="center" vertical="center"/>
      <protection/>
    </xf>
    <xf numFmtId="0" fontId="6" fillId="0" borderId="141" xfId="0" applyFont="1" applyFill="1" applyBorder="1" applyAlignment="1" applyProtection="1">
      <alignment horizontal="center" vertical="center"/>
      <protection/>
    </xf>
    <xf numFmtId="178" fontId="6" fillId="0" borderId="142" xfId="0" applyNumberFormat="1" applyFont="1" applyBorder="1" applyAlignment="1" applyProtection="1">
      <alignment horizontal="left" vertical="center" wrapText="1"/>
      <protection/>
    </xf>
    <xf numFmtId="178" fontId="6" fillId="0" borderId="28" xfId="0" applyNumberFormat="1" applyFont="1" applyBorder="1" applyAlignment="1" applyProtection="1">
      <alignment horizontal="left" vertical="center" wrapText="1"/>
      <protection/>
    </xf>
    <xf numFmtId="178" fontId="6" fillId="0" borderId="143" xfId="0" applyNumberFormat="1" applyFont="1" applyBorder="1" applyAlignment="1" applyProtection="1">
      <alignment horizontal="left" vertical="center" wrapText="1"/>
      <protection/>
    </xf>
    <xf numFmtId="166" fontId="6" fillId="0" borderId="144" xfId="0" applyNumberFormat="1" applyFont="1" applyFill="1" applyBorder="1" applyAlignment="1" applyProtection="1">
      <alignment horizontal="right" vertical="center" wrapText="1"/>
      <protection/>
    </xf>
    <xf numFmtId="166" fontId="6" fillId="0" borderId="145" xfId="0" applyNumberFormat="1" applyFont="1" applyFill="1" applyBorder="1" applyAlignment="1" applyProtection="1">
      <alignment horizontal="right" vertical="center" wrapText="1"/>
      <protection/>
    </xf>
    <xf numFmtId="0" fontId="6" fillId="0" borderId="146" xfId="0" applyFont="1" applyFill="1" applyBorder="1" applyAlignment="1" applyProtection="1">
      <alignment horizontal="center" vertical="center"/>
      <protection/>
    </xf>
    <xf numFmtId="178" fontId="6" fillId="0" borderId="147" xfId="0" applyNumberFormat="1" applyFont="1" applyBorder="1" applyAlignment="1" applyProtection="1">
      <alignment horizontal="left" vertical="center" wrapText="1"/>
      <protection/>
    </xf>
    <xf numFmtId="178" fontId="6" fillId="0" borderId="82" xfId="0" applyNumberFormat="1" applyFont="1" applyBorder="1" applyAlignment="1" applyProtection="1">
      <alignment horizontal="left" vertical="center" wrapText="1"/>
      <protection/>
    </xf>
    <xf numFmtId="178" fontId="6" fillId="0" borderId="148" xfId="0" applyNumberFormat="1" applyFont="1" applyBorder="1" applyAlignment="1" applyProtection="1">
      <alignment horizontal="left" vertical="center" wrapText="1"/>
      <protection/>
    </xf>
    <xf numFmtId="178" fontId="6" fillId="0" borderId="20" xfId="0" applyNumberFormat="1" applyFont="1" applyBorder="1" applyAlignment="1" applyProtection="1">
      <alignment horizontal="left" vertical="center" wrapText="1"/>
      <protection/>
    </xf>
    <xf numFmtId="178" fontId="6" fillId="0" borderId="21" xfId="0" applyNumberFormat="1" applyFont="1" applyBorder="1" applyAlignment="1" applyProtection="1">
      <alignment horizontal="left" vertical="center" wrapText="1"/>
      <protection/>
    </xf>
    <xf numFmtId="178" fontId="6" fillId="0" borderId="22" xfId="0" applyNumberFormat="1" applyFont="1" applyBorder="1" applyAlignment="1" applyProtection="1">
      <alignment horizontal="left" vertical="center" wrapText="1"/>
      <protection/>
    </xf>
    <xf numFmtId="179" fontId="6" fillId="0" borderId="149" xfId="0" applyNumberFormat="1" applyFont="1" applyBorder="1" applyAlignment="1" applyProtection="1">
      <alignment horizontal="center" vertical="center"/>
      <protection/>
    </xf>
    <xf numFmtId="179" fontId="6" fillId="0" borderId="150" xfId="0" applyNumberFormat="1" applyFont="1" applyBorder="1" applyAlignment="1" applyProtection="1">
      <alignment horizontal="center" vertical="center"/>
      <protection/>
    </xf>
    <xf numFmtId="0" fontId="6" fillId="43" borderId="151" xfId="0" applyFont="1" applyFill="1" applyBorder="1" applyAlignment="1">
      <alignment horizontal="center" vertical="center"/>
    </xf>
    <xf numFmtId="0" fontId="6" fillId="43" borderId="150" xfId="0" applyFont="1" applyFill="1" applyBorder="1" applyAlignment="1">
      <alignment horizontal="center" vertical="center"/>
    </xf>
    <xf numFmtId="166" fontId="6" fillId="0" borderId="152" xfId="0" applyNumberFormat="1" applyFont="1" applyFill="1" applyBorder="1" applyAlignment="1" applyProtection="1">
      <alignment horizontal="right" vertical="center"/>
      <protection/>
    </xf>
    <xf numFmtId="166" fontId="6" fillId="0" borderId="139" xfId="0" applyNumberFormat="1" applyFont="1" applyFill="1" applyBorder="1" applyAlignment="1" applyProtection="1">
      <alignment horizontal="right" vertical="center"/>
      <protection/>
    </xf>
    <xf numFmtId="39" fontId="101" fillId="0" borderId="0" xfId="0" applyNumberFormat="1" applyFont="1" applyBorder="1" applyAlignment="1">
      <alignment horizontal="center" vertical="center"/>
    </xf>
    <xf numFmtId="39" fontId="101" fillId="0" borderId="0" xfId="0" applyNumberFormat="1" applyFont="1" applyAlignment="1">
      <alignment horizontal="center" vertical="center"/>
    </xf>
    <xf numFmtId="179" fontId="6" fillId="0" borderId="151" xfId="0" applyNumberFormat="1" applyFont="1" applyBorder="1" applyAlignment="1">
      <alignment horizontal="center" vertical="center"/>
    </xf>
    <xf numFmtId="179" fontId="6" fillId="0" borderId="153" xfId="0" applyNumberFormat="1" applyFont="1" applyBorder="1" applyAlignment="1">
      <alignment horizontal="center" vertical="center"/>
    </xf>
    <xf numFmtId="0" fontId="6" fillId="43" borderId="152" xfId="0" applyFont="1" applyFill="1" applyBorder="1" applyAlignment="1">
      <alignment horizontal="center" vertical="center"/>
    </xf>
    <xf numFmtId="0" fontId="6" fillId="43" borderId="154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10" fontId="18" fillId="10" borderId="155" xfId="0" applyNumberFormat="1" applyFont="1" applyFill="1" applyBorder="1" applyAlignment="1" applyProtection="1">
      <alignment horizontal="center" vertical="center"/>
      <protection/>
    </xf>
    <xf numFmtId="10" fontId="18" fillId="10" borderId="156" xfId="0" applyNumberFormat="1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>
      <alignment horizontal="center" vertical="center"/>
    </xf>
    <xf numFmtId="0" fontId="10" fillId="10" borderId="157" xfId="0" applyFont="1" applyFill="1" applyBorder="1" applyAlignment="1" applyProtection="1">
      <alignment horizontal="center" vertical="center" wrapText="1"/>
      <protection/>
    </xf>
    <xf numFmtId="10" fontId="6" fillId="0" borderId="129" xfId="0" applyNumberFormat="1" applyFont="1" applyBorder="1" applyAlignment="1" applyProtection="1">
      <alignment horizontal="center" vertical="center"/>
      <protection/>
    </xf>
    <xf numFmtId="10" fontId="6" fillId="0" borderId="130" xfId="0" applyNumberFormat="1" applyFont="1" applyBorder="1" applyAlignment="1" applyProtection="1">
      <alignment horizontal="center" vertical="center"/>
      <protection/>
    </xf>
    <xf numFmtId="10" fontId="6" fillId="0" borderId="149" xfId="0" applyNumberFormat="1" applyFont="1" applyBorder="1" applyAlignment="1" applyProtection="1">
      <alignment horizontal="center" vertical="center"/>
      <protection/>
    </xf>
    <xf numFmtId="10" fontId="6" fillId="0" borderId="150" xfId="0" applyNumberFormat="1" applyFont="1" applyBorder="1" applyAlignment="1" applyProtection="1">
      <alignment horizontal="center" vertical="center"/>
      <protection/>
    </xf>
    <xf numFmtId="39" fontId="101" fillId="0" borderId="36" xfId="0" applyNumberFormat="1" applyFont="1" applyBorder="1" applyAlignment="1">
      <alignment horizontal="center" vertical="center"/>
    </xf>
    <xf numFmtId="39" fontId="101" fillId="0" borderId="111" xfId="0" applyNumberFormat="1" applyFont="1" applyBorder="1" applyAlignment="1">
      <alignment horizontal="center" vertical="center"/>
    </xf>
    <xf numFmtId="10" fontId="6" fillId="0" borderId="151" xfId="0" applyNumberFormat="1" applyFont="1" applyBorder="1" applyAlignment="1">
      <alignment horizontal="center" vertical="center"/>
    </xf>
    <xf numFmtId="10" fontId="6" fillId="0" borderId="153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1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4" fontId="6" fillId="0" borderId="0" xfId="51" applyNumberFormat="1" applyFont="1" applyFill="1" applyBorder="1" applyAlignment="1">
      <alignment horizontal="center" vertical="center" wrapText="1"/>
      <protection/>
    </xf>
    <xf numFmtId="4" fontId="0" fillId="0" borderId="0" xfId="51" applyNumberFormat="1" applyFont="1" applyFill="1" applyBorder="1" applyAlignment="1">
      <alignment horizontal="center" vertical="center" wrapText="1"/>
      <protection/>
    </xf>
    <xf numFmtId="187" fontId="15" fillId="0" borderId="39" xfId="0" applyNumberFormat="1" applyFont="1" applyFill="1" applyBorder="1" applyAlignment="1">
      <alignment horizontal="center" vertical="center"/>
    </xf>
    <xf numFmtId="187" fontId="15" fillId="0" borderId="11" xfId="0" applyNumberFormat="1" applyFont="1" applyFill="1" applyBorder="1" applyAlignment="1">
      <alignment horizontal="center" vertical="center"/>
    </xf>
    <xf numFmtId="187" fontId="15" fillId="0" borderId="13" xfId="0" applyNumberFormat="1" applyFont="1" applyFill="1" applyBorder="1" applyAlignment="1">
      <alignment horizontal="center" vertical="center"/>
    </xf>
    <xf numFmtId="0" fontId="10" fillId="16" borderId="14" xfId="51" applyNumberFormat="1" applyFont="1" applyFill="1" applyBorder="1" applyAlignment="1">
      <alignment horizontal="center" vertical="center"/>
      <protection/>
    </xf>
    <xf numFmtId="0" fontId="16" fillId="16" borderId="15" xfId="51" applyFont="1" applyFill="1" applyBorder="1" applyAlignment="1">
      <alignment horizontal="center" vertical="center"/>
      <protection/>
    </xf>
    <xf numFmtId="0" fontId="10" fillId="16" borderId="10" xfId="51" applyNumberFormat="1" applyFont="1" applyFill="1" applyBorder="1" applyAlignment="1">
      <alignment horizontal="center" vertical="center"/>
      <protection/>
    </xf>
    <xf numFmtId="0" fontId="16" fillId="16" borderId="10" xfId="51" applyFont="1" applyFill="1" applyBorder="1" applyAlignment="1">
      <alignment horizontal="center" vertical="center"/>
      <protection/>
    </xf>
    <xf numFmtId="0" fontId="10" fillId="16" borderId="14" xfId="51" applyNumberFormat="1" applyFont="1" applyFill="1" applyBorder="1" applyAlignment="1">
      <alignment horizontal="center" vertical="center" wrapText="1"/>
      <protection/>
    </xf>
    <xf numFmtId="0" fontId="16" fillId="16" borderId="15" xfId="51" applyFont="1" applyFill="1" applyBorder="1" applyAlignment="1">
      <alignment horizontal="center" vertical="center" wrapText="1"/>
      <protection/>
    </xf>
    <xf numFmtId="4" fontId="10" fillId="16" borderId="14" xfId="51" applyNumberFormat="1" applyFont="1" applyFill="1" applyBorder="1" applyAlignment="1">
      <alignment horizontal="center" vertical="center" wrapText="1"/>
      <protection/>
    </xf>
    <xf numFmtId="4" fontId="16" fillId="16" borderId="15" xfId="51" applyNumberFormat="1" applyFont="1" applyFill="1" applyBorder="1" applyAlignment="1">
      <alignment horizontal="center" vertical="center" wrapText="1"/>
      <protection/>
    </xf>
    <xf numFmtId="1" fontId="10" fillId="16" borderId="14" xfId="0" applyNumberFormat="1" applyFont="1" applyFill="1" applyBorder="1" applyAlignment="1">
      <alignment horizontal="center" vertical="center" wrapText="1"/>
    </xf>
    <xf numFmtId="1" fontId="10" fillId="16" borderId="15" xfId="0" applyNumberFormat="1" applyFont="1" applyFill="1" applyBorder="1" applyAlignment="1">
      <alignment horizontal="center" vertical="center" wrapText="1"/>
    </xf>
    <xf numFmtId="0" fontId="10" fillId="19" borderId="14" xfId="51" applyNumberFormat="1" applyFont="1" applyFill="1" applyBorder="1" applyAlignment="1">
      <alignment horizontal="center" vertical="center" wrapText="1"/>
      <protection/>
    </xf>
    <xf numFmtId="0" fontId="10" fillId="19" borderId="15" xfId="51" applyNumberFormat="1" applyFont="1" applyFill="1" applyBorder="1" applyAlignment="1">
      <alignment horizontal="center" vertical="center" wrapText="1"/>
      <protection/>
    </xf>
    <xf numFmtId="4" fontId="10" fillId="19" borderId="14" xfId="51" applyNumberFormat="1" applyFont="1" applyFill="1" applyBorder="1" applyAlignment="1">
      <alignment horizontal="center" vertical="center" wrapText="1"/>
      <protection/>
    </xf>
    <xf numFmtId="4" fontId="10" fillId="19" borderId="15" xfId="5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51" applyNumberFormat="1" applyFont="1" applyFill="1" applyBorder="1" applyAlignment="1">
      <alignment horizontal="center" vertical="center"/>
      <protection/>
    </xf>
    <xf numFmtId="4" fontId="10" fillId="0" borderId="0" xfId="69" applyNumberFormat="1" applyFont="1" applyFill="1" applyBorder="1" applyAlignment="1">
      <alignment horizontal="right" vertical="center"/>
    </xf>
    <xf numFmtId="4" fontId="10" fillId="16" borderId="10" xfId="60" applyNumberFormat="1" applyFont="1" applyFill="1" applyBorder="1" applyAlignment="1">
      <alignment horizontal="center" vertical="center"/>
    </xf>
    <xf numFmtId="0" fontId="18" fillId="0" borderId="12" xfId="51" applyFont="1" applyFill="1" applyBorder="1" applyAlignment="1">
      <alignment horizontal="center" vertical="center"/>
      <protection/>
    </xf>
    <xf numFmtId="4" fontId="16" fillId="0" borderId="0" xfId="69" applyNumberFormat="1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quotePrefix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43" xfId="0" applyFont="1" applyFill="1" applyBorder="1" applyAlignment="1" quotePrefix="1">
      <alignment horizontal="right" vertical="center"/>
    </xf>
    <xf numFmtId="0" fontId="6" fillId="0" borderId="28" xfId="0" applyFont="1" applyFill="1" applyBorder="1" applyAlignment="1" quotePrefix="1">
      <alignment horizontal="right" vertical="center"/>
    </xf>
    <xf numFmtId="0" fontId="6" fillId="0" borderId="38" xfId="0" applyFont="1" applyFill="1" applyBorder="1" applyAlignment="1" quotePrefix="1">
      <alignment horizontal="right" vertical="center"/>
    </xf>
    <xf numFmtId="0" fontId="0" fillId="0" borderId="43" xfId="0" applyFont="1" applyFill="1" applyBorder="1" applyAlignment="1" quotePrefix="1">
      <alignment horizontal="left" vertical="center" wrapText="1"/>
    </xf>
    <xf numFmtId="0" fontId="0" fillId="0" borderId="28" xfId="0" applyFont="1" applyFill="1" applyBorder="1" applyAlignment="1" quotePrefix="1">
      <alignment horizontal="left" vertical="center" wrapText="1"/>
    </xf>
    <xf numFmtId="0" fontId="0" fillId="0" borderId="38" xfId="0" applyFont="1" applyFill="1" applyBorder="1" applyAlignment="1" quotePrefix="1">
      <alignment horizontal="left" vertical="center" wrapText="1"/>
    </xf>
    <xf numFmtId="0" fontId="6" fillId="0" borderId="40" xfId="0" applyFont="1" applyFill="1" applyBorder="1" applyAlignment="1" quotePrefix="1">
      <alignment horizontal="right" vertical="center"/>
    </xf>
    <xf numFmtId="0" fontId="10" fillId="0" borderId="28" xfId="0" applyFont="1" applyFill="1" applyBorder="1" applyAlignment="1" quotePrefix="1">
      <alignment horizontal="left" vertical="center" wrapText="1"/>
    </xf>
    <xf numFmtId="0" fontId="0" fillId="0" borderId="38" xfId="0" applyFont="1" applyFill="1" applyBorder="1" applyAlignment="1" quotePrefix="1">
      <alignment horizontal="justify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 quotePrefix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6" fillId="0" borderId="43" xfId="0" applyFont="1" applyFill="1" applyBorder="1" applyAlignment="1" quotePrefix="1">
      <alignment horizontal="center" vertical="center"/>
    </xf>
    <xf numFmtId="0" fontId="6" fillId="0" borderId="28" xfId="0" applyFont="1" applyFill="1" applyBorder="1" applyAlignment="1" quotePrefix="1">
      <alignment horizontal="center" vertical="center"/>
    </xf>
    <xf numFmtId="0" fontId="6" fillId="0" borderId="38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 quotePrefix="1">
      <alignment horizontal="justify" vertical="center" wrapText="1"/>
    </xf>
    <xf numFmtId="0" fontId="0" fillId="0" borderId="28" xfId="0" applyFont="1" applyFill="1" applyBorder="1" applyAlignment="1" quotePrefix="1">
      <alignment horizontal="justify" vertical="center" wrapText="1"/>
    </xf>
    <xf numFmtId="0" fontId="18" fillId="16" borderId="43" xfId="51" applyFont="1" applyFill="1" applyBorder="1" applyAlignment="1">
      <alignment horizontal="center" vertical="center"/>
      <protection/>
    </xf>
    <xf numFmtId="0" fontId="18" fillId="16" borderId="28" xfId="51" applyFont="1" applyFill="1" applyBorder="1" applyAlignment="1">
      <alignment horizontal="center" vertical="center"/>
      <protection/>
    </xf>
    <xf numFmtId="0" fontId="18" fillId="16" borderId="38" xfId="51" applyFont="1" applyFill="1" applyBorder="1" applyAlignment="1">
      <alignment horizontal="center" vertical="center"/>
      <protection/>
    </xf>
    <xf numFmtId="0" fontId="112" fillId="0" borderId="28" xfId="0" applyFont="1" applyBorder="1" applyAlignment="1">
      <alignment horizontal="center" vertical="center" wrapText="1"/>
    </xf>
    <xf numFmtId="0" fontId="111" fillId="0" borderId="28" xfId="0" applyFont="1" applyBorder="1" applyAlignment="1" quotePrefix="1">
      <alignment horizontal="left" vertical="center" wrapText="1"/>
    </xf>
    <xf numFmtId="0" fontId="112" fillId="0" borderId="12" xfId="0" applyFont="1" applyBorder="1" applyAlignment="1" quotePrefix="1">
      <alignment horizontal="righ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26" fillId="45" borderId="43" xfId="0" applyFont="1" applyFill="1" applyBorder="1" applyAlignment="1">
      <alignment horizontal="center" vertical="center"/>
    </xf>
    <xf numFmtId="0" fontId="26" fillId="45" borderId="28" xfId="0" applyFont="1" applyFill="1" applyBorder="1" applyAlignment="1">
      <alignment horizontal="center" vertical="center"/>
    </xf>
    <xf numFmtId="0" fontId="0" fillId="45" borderId="38" xfId="0" applyFont="1" applyFill="1" applyBorder="1" applyAlignment="1">
      <alignment/>
    </xf>
    <xf numFmtId="0" fontId="6" fillId="13" borderId="0" xfId="0" applyFont="1" applyFill="1" applyBorder="1" applyAlignment="1">
      <alignment vertical="center"/>
    </xf>
    <xf numFmtId="197" fontId="0" fillId="0" borderId="0" xfId="0" applyNumberFormat="1" applyFont="1" applyBorder="1" applyAlignment="1">
      <alignment horizontal="center" vertical="center"/>
    </xf>
    <xf numFmtId="2" fontId="4" fillId="13" borderId="105" xfId="0" applyNumberFormat="1" applyFont="1" applyFill="1" applyBorder="1" applyAlignment="1">
      <alignment horizontal="center" vertical="center"/>
    </xf>
    <xf numFmtId="0" fontId="12" fillId="13" borderId="13" xfId="0" applyFont="1" applyFill="1" applyBorder="1" applyAlignment="1">
      <alignment vertical="center" wrapText="1"/>
    </xf>
    <xf numFmtId="0" fontId="12" fillId="13" borderId="12" xfId="0" applyFont="1" applyFill="1" applyBorder="1" applyAlignment="1">
      <alignment vertical="center" wrapText="1"/>
    </xf>
    <xf numFmtId="0" fontId="12" fillId="13" borderId="43" xfId="0" applyFont="1" applyFill="1" applyBorder="1" applyAlignment="1">
      <alignment horizontal="left" vertical="center" wrapText="1"/>
    </xf>
    <xf numFmtId="0" fontId="12" fillId="13" borderId="2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2" fontId="4" fillId="5" borderId="57" xfId="0" applyNumberFormat="1" applyFont="1" applyFill="1" applyBorder="1" applyAlignment="1">
      <alignment horizontal="center" vertical="center" textRotation="90"/>
    </xf>
    <xf numFmtId="2" fontId="4" fillId="5" borderId="158" xfId="0" applyNumberFormat="1" applyFont="1" applyFill="1" applyBorder="1" applyAlignment="1">
      <alignment horizontal="center" vertical="center" textRotation="90"/>
    </xf>
    <xf numFmtId="2" fontId="4" fillId="5" borderId="159" xfId="0" applyNumberFormat="1" applyFont="1" applyFill="1" applyBorder="1" applyAlignment="1">
      <alignment horizontal="center" vertical="center" textRotation="90"/>
    </xf>
    <xf numFmtId="2" fontId="4" fillId="5" borderId="111" xfId="0" applyNumberFormat="1" applyFont="1" applyFill="1" applyBorder="1" applyAlignment="1">
      <alignment horizontal="right" vertical="center" textRotation="90"/>
    </xf>
    <xf numFmtId="0" fontId="4" fillId="5" borderId="160" xfId="0" applyFont="1" applyFill="1" applyBorder="1" applyAlignment="1">
      <alignment horizontal="center" vertical="center"/>
    </xf>
    <xf numFmtId="0" fontId="4" fillId="5" borderId="161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2" fontId="4" fillId="0" borderId="56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52" borderId="162" xfId="0" applyFont="1" applyFill="1" applyBorder="1" applyAlignment="1">
      <alignment horizontal="center" vertical="center"/>
    </xf>
    <xf numFmtId="0" fontId="5" fillId="52" borderId="28" xfId="0" applyFont="1" applyFill="1" applyBorder="1" applyAlignment="1">
      <alignment horizontal="center" vertical="center"/>
    </xf>
    <xf numFmtId="0" fontId="5" fillId="52" borderId="38" xfId="0" applyFont="1" applyFill="1" applyBorder="1" applyAlignment="1">
      <alignment horizontal="center" vertical="center"/>
    </xf>
    <xf numFmtId="2" fontId="4" fillId="5" borderId="112" xfId="0" applyNumberFormat="1" applyFont="1" applyFill="1" applyBorder="1" applyAlignment="1">
      <alignment horizontal="center" vertical="center"/>
    </xf>
    <xf numFmtId="2" fontId="4" fillId="5" borderId="53" xfId="0" applyNumberFormat="1" applyFont="1" applyFill="1" applyBorder="1" applyAlignment="1">
      <alignment horizontal="center" vertical="center"/>
    </xf>
    <xf numFmtId="2" fontId="4" fillId="5" borderId="44" xfId="0" applyNumberFormat="1" applyFont="1" applyFill="1" applyBorder="1" applyAlignment="1">
      <alignment horizontal="center" vertical="center"/>
    </xf>
    <xf numFmtId="2" fontId="4" fillId="5" borderId="46" xfId="0" applyNumberFormat="1" applyFont="1" applyFill="1" applyBorder="1" applyAlignment="1">
      <alignment horizontal="center" vertical="center" textRotation="90"/>
    </xf>
    <xf numFmtId="0" fontId="0" fillId="5" borderId="46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2" fontId="20" fillId="5" borderId="158" xfId="0" applyNumberFormat="1" applyFont="1" applyFill="1" applyBorder="1" applyAlignment="1">
      <alignment horizontal="center" vertical="center"/>
    </xf>
    <xf numFmtId="2" fontId="20" fillId="5" borderId="159" xfId="0" applyNumberFormat="1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12" fillId="53" borderId="43" xfId="0" applyFont="1" applyFill="1" applyBorder="1" applyAlignment="1">
      <alignment horizontal="center" vertical="center"/>
    </xf>
    <xf numFmtId="0" fontId="12" fillId="53" borderId="28" xfId="0" applyFont="1" applyFill="1" applyBorder="1" applyAlignment="1">
      <alignment horizontal="center" vertical="center"/>
    </xf>
    <xf numFmtId="0" fontId="12" fillId="53" borderId="38" xfId="0" applyFont="1" applyFill="1" applyBorder="1" applyAlignment="1">
      <alignment horizontal="center" vertical="center"/>
    </xf>
    <xf numFmtId="2" fontId="12" fillId="54" borderId="33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 wrapText="1"/>
    </xf>
    <xf numFmtId="0" fontId="12" fillId="5" borderId="43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6" fillId="13" borderId="43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left" vertical="center"/>
    </xf>
    <xf numFmtId="2" fontId="4" fillId="0" borderId="59" xfId="0" applyNumberFormat="1" applyFont="1" applyFill="1" applyBorder="1" applyAlignment="1">
      <alignment horizontal="left" vertical="center"/>
    </xf>
    <xf numFmtId="2" fontId="4" fillId="0" borderId="55" xfId="0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_Lagoa  - 12-09-2007_Comparativo" xfId="51"/>
    <cellStyle name="Normal_Lagoa  - 12-09-2007_Comparativo 2" xfId="52"/>
    <cellStyle name="Normal_Quantidades e Custos-Bonito-Bodoquena-Mai06" xfId="53"/>
    <cellStyle name="Nota" xfId="54"/>
    <cellStyle name="Percent" xfId="55"/>
    <cellStyle name="Porcentagem 2" xfId="56"/>
    <cellStyle name="Saída" xfId="57"/>
    <cellStyle name="Comma [0]" xfId="58"/>
    <cellStyle name="Separador de milhares 2" xfId="59"/>
    <cellStyle name="Separador de milhares_Lagoa  - 12-09-2007_Comparativo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C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82</xdr:row>
      <xdr:rowOff>85725</xdr:rowOff>
    </xdr:from>
    <xdr:to>
      <xdr:col>1</xdr:col>
      <xdr:colOff>771525</xdr:colOff>
      <xdr:row>82</xdr:row>
      <xdr:rowOff>85725</xdr:rowOff>
    </xdr:to>
    <xdr:sp>
      <xdr:nvSpPr>
        <xdr:cNvPr id="1" name="Line 60"/>
        <xdr:cNvSpPr>
          <a:spLocks/>
        </xdr:cNvSpPr>
      </xdr:nvSpPr>
      <xdr:spPr>
        <a:xfrm>
          <a:off x="1123950" y="16764000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85725</xdr:rowOff>
    </xdr:from>
    <xdr:to>
      <xdr:col>1</xdr:col>
      <xdr:colOff>771525</xdr:colOff>
      <xdr:row>83</xdr:row>
      <xdr:rowOff>85725</xdr:rowOff>
    </xdr:to>
    <xdr:sp>
      <xdr:nvSpPr>
        <xdr:cNvPr id="2" name="Line 61"/>
        <xdr:cNvSpPr>
          <a:spLocks/>
        </xdr:cNvSpPr>
      </xdr:nvSpPr>
      <xdr:spPr>
        <a:xfrm>
          <a:off x="1123950" y="1692592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104775</xdr:rowOff>
    </xdr:from>
    <xdr:to>
      <xdr:col>10</xdr:col>
      <xdr:colOff>0</xdr:colOff>
      <xdr:row>0</xdr:row>
      <xdr:rowOff>647700</xdr:rowOff>
    </xdr:to>
    <xdr:pic>
      <xdr:nvPicPr>
        <xdr:cNvPr id="1" name="Imagem 1" descr="C:\Users\vmartins\Downloads\Logo_GOV_MS-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104775</xdr:rowOff>
    </xdr:from>
    <xdr:to>
      <xdr:col>2</xdr:col>
      <xdr:colOff>1419225</xdr:colOff>
      <xdr:row>0</xdr:row>
      <xdr:rowOff>628650</xdr:rowOff>
    </xdr:to>
    <xdr:pic>
      <xdr:nvPicPr>
        <xdr:cNvPr id="2" name="Imagem 2" descr="C:\Users\vmartins\AppData\Local\Temp\Rar$DR17.047\AGEHAB RGB HORIZONT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04775"/>
          <a:ext cx="2247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0</xdr:row>
      <xdr:rowOff>0</xdr:rowOff>
    </xdr:from>
    <xdr:to>
      <xdr:col>5</xdr:col>
      <xdr:colOff>1085850</xdr:colOff>
      <xdr:row>2</xdr:row>
      <xdr:rowOff>95250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rcRect l="59823" t="-8695" r="25357"/>
        <a:stretch>
          <a:fillRect/>
        </a:stretch>
      </xdr:blipFill>
      <xdr:spPr>
        <a:xfrm>
          <a:off x="3762375" y="0"/>
          <a:ext cx="1590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13"/>
  <sheetViews>
    <sheetView view="pageBreakPreview" zoomScaleSheetLayoutView="100" zoomScalePageLayoutView="0" workbookViewId="0" topLeftCell="A1">
      <selection activeCell="F5" sqref="F5"/>
    </sheetView>
  </sheetViews>
  <sheetFormatPr defaultColWidth="13.00390625" defaultRowHeight="30" customHeight="1"/>
  <cols>
    <col min="1" max="1" width="17.57421875" style="46" customWidth="1"/>
    <col min="2" max="2" width="13.00390625" style="84" customWidth="1"/>
    <col min="3" max="3" width="21.140625" style="84" customWidth="1"/>
    <col min="4" max="4" width="13.00390625" style="84" customWidth="1"/>
    <col min="5" max="5" width="18.57421875" style="84" customWidth="1"/>
    <col min="6" max="16384" width="13.00390625" style="84" customWidth="1"/>
  </cols>
  <sheetData>
    <row r="2" spans="1:2" ht="30" customHeight="1" thickBot="1">
      <c r="A2" s="86" t="s">
        <v>14</v>
      </c>
      <c r="B2" s="85" t="s">
        <v>225</v>
      </c>
    </row>
    <row r="3" spans="1:5" ht="30" customHeight="1">
      <c r="A3" s="108" t="s">
        <v>251</v>
      </c>
      <c r="B3" s="111" t="s">
        <v>427</v>
      </c>
      <c r="C3" s="112"/>
      <c r="D3" s="112"/>
      <c r="E3" s="113"/>
    </row>
    <row r="4" spans="1:5" ht="30" customHeight="1">
      <c r="A4" s="500" t="s">
        <v>13</v>
      </c>
      <c r="B4" s="501" t="s">
        <v>428</v>
      </c>
      <c r="C4" s="502"/>
      <c r="D4" s="502"/>
      <c r="E4" s="503"/>
    </row>
    <row r="5" spans="1:5" ht="30" customHeight="1" thickBot="1">
      <c r="A5" s="109" t="s">
        <v>50</v>
      </c>
      <c r="B5" s="110">
        <v>70</v>
      </c>
      <c r="C5" s="114" t="s">
        <v>17</v>
      </c>
      <c r="D5" s="115"/>
      <c r="E5" s="116"/>
    </row>
    <row r="6" spans="1:3" ht="30" customHeight="1">
      <c r="A6" s="46" t="s">
        <v>53</v>
      </c>
      <c r="B6" s="118" t="s">
        <v>415</v>
      </c>
      <c r="C6" s="117"/>
    </row>
    <row r="7" spans="1:3" ht="30" customHeight="1">
      <c r="A7" s="46" t="s">
        <v>227</v>
      </c>
      <c r="B7" s="118" t="s">
        <v>316</v>
      </c>
      <c r="C7" s="119"/>
    </row>
    <row r="8" spans="1:3" ht="30" customHeight="1">
      <c r="A8" s="46" t="s">
        <v>48</v>
      </c>
      <c r="B8" s="118" t="s">
        <v>429</v>
      </c>
      <c r="C8" s="119"/>
    </row>
    <row r="9" spans="1:3" ht="30" customHeight="1" thickBot="1">
      <c r="A9" s="87" t="s">
        <v>55</v>
      </c>
      <c r="B9" s="120" t="s">
        <v>65</v>
      </c>
      <c r="C9" s="121"/>
    </row>
    <row r="10" spans="1:5" ht="30" customHeight="1" thickBot="1">
      <c r="A10" s="88" t="s">
        <v>226</v>
      </c>
      <c r="B10" s="511">
        <v>1.2222</v>
      </c>
      <c r="C10" s="512"/>
      <c r="D10" s="514">
        <f>B10-1</f>
        <v>0.22219999999999995</v>
      </c>
      <c r="E10" s="516"/>
    </row>
    <row r="11" ht="30" customHeight="1">
      <c r="A11" s="88"/>
    </row>
    <row r="12" ht="30" customHeight="1">
      <c r="A12" s="88"/>
    </row>
    <row r="13" ht="30" customHeight="1">
      <c r="A13" s="88"/>
    </row>
  </sheetData>
  <sheetProtection password="C5D3" sheet="1"/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25"/>
  <sheetViews>
    <sheetView tabSelected="1" view="pageBreakPreview" zoomScale="70" zoomScaleSheetLayoutView="70" zoomScalePageLayoutView="0" workbookViewId="0" topLeftCell="A1">
      <selection activeCell="C4" sqref="C4"/>
    </sheetView>
  </sheetViews>
  <sheetFormatPr defaultColWidth="9.140625" defaultRowHeight="12.75"/>
  <cols>
    <col min="1" max="1" width="16.8515625" style="11" customWidth="1"/>
    <col min="2" max="2" width="11.57421875" style="8" customWidth="1"/>
    <col min="3" max="3" width="66.7109375" style="8" customWidth="1"/>
    <col min="4" max="4" width="16.7109375" style="8" customWidth="1"/>
    <col min="5" max="5" width="16.8515625" style="12" customWidth="1"/>
    <col min="6" max="6" width="30.140625" style="6" customWidth="1"/>
    <col min="7" max="7" width="3.8515625" style="7" customWidth="1"/>
    <col min="8" max="8" width="14.421875" style="7" customWidth="1"/>
    <col min="9" max="16384" width="9.140625" style="7" customWidth="1"/>
  </cols>
  <sheetData>
    <row r="1" spans="1:6" s="3" customFormat="1" ht="24.75" customHeight="1">
      <c r="A1" s="917"/>
      <c r="B1" s="918"/>
      <c r="C1" s="918"/>
      <c r="D1" s="918"/>
      <c r="E1" s="919"/>
      <c r="F1" s="2"/>
    </row>
    <row r="2" spans="1:6" s="3" customFormat="1" ht="15">
      <c r="A2" s="917"/>
      <c r="B2" s="918"/>
      <c r="C2" s="918"/>
      <c r="D2" s="918"/>
      <c r="E2" s="920"/>
      <c r="F2" s="4"/>
    </row>
    <row r="3" spans="1:6" s="3" customFormat="1" ht="12.75" customHeight="1">
      <c r="A3" s="917"/>
      <c r="B3" s="921"/>
      <c r="C3" s="921"/>
      <c r="D3" s="921"/>
      <c r="E3" s="920"/>
      <c r="F3" s="4"/>
    </row>
    <row r="4" spans="1:6" s="3" customFormat="1" ht="12.75" customHeight="1">
      <c r="A4" s="917"/>
      <c r="B4" s="921"/>
      <c r="C4" s="921"/>
      <c r="D4" s="921"/>
      <c r="E4" s="920"/>
      <c r="F4" s="4"/>
    </row>
    <row r="5" spans="1:6" s="3" customFormat="1" ht="12.75" customHeight="1">
      <c r="A5" s="917"/>
      <c r="B5" s="921"/>
      <c r="C5" s="921"/>
      <c r="D5" s="921"/>
      <c r="E5" s="920"/>
      <c r="F5" s="4"/>
    </row>
    <row r="6" spans="1:6" s="3" customFormat="1" ht="12.75" customHeight="1">
      <c r="A6" s="917"/>
      <c r="B6" s="921"/>
      <c r="C6" s="921"/>
      <c r="D6" s="921"/>
      <c r="E6" s="920"/>
      <c r="F6" s="4"/>
    </row>
    <row r="7" spans="1:18" s="21" customFormat="1" ht="30" customHeight="1">
      <c r="A7" s="44" t="str">
        <f>'ORÇAMENTO GLOBAL'!C4</f>
        <v>Obra:</v>
      </c>
      <c r="B7" s="45" t="str">
        <f>DADOS!B2</f>
        <v>BASE PARA LOTES URBANIZADOS - RADIER</v>
      </c>
      <c r="C7" s="45"/>
      <c r="D7" s="45"/>
      <c r="E7" s="477"/>
      <c r="F7" s="14"/>
      <c r="G7" s="15"/>
      <c r="H7" s="22"/>
      <c r="I7" s="16"/>
      <c r="J7" s="16"/>
      <c r="K7" s="23"/>
      <c r="L7" s="23"/>
      <c r="M7" s="23"/>
      <c r="N7" s="23"/>
      <c r="O7" s="23"/>
      <c r="P7" s="23"/>
      <c r="Q7" s="23"/>
      <c r="R7" s="23"/>
    </row>
    <row r="8" spans="1:18" s="21" customFormat="1" ht="30" customHeight="1">
      <c r="A8" s="44" t="str">
        <f>'ORÇAMENTO GLOBAL'!C5</f>
        <v>Local:</v>
      </c>
      <c r="B8" s="942" t="str">
        <f>DADOS!B3</f>
        <v>LOTEAMENTO JARDIM DOS ESTADOS</v>
      </c>
      <c r="C8" s="942"/>
      <c r="D8" s="477"/>
      <c r="E8" s="649"/>
      <c r="F8" s="14"/>
      <c r="G8" s="15"/>
      <c r="H8" s="22"/>
      <c r="I8" s="16"/>
      <c r="J8" s="16"/>
      <c r="K8" s="23"/>
      <c r="L8" s="23"/>
      <c r="M8" s="23"/>
      <c r="N8" s="23"/>
      <c r="O8" s="23"/>
      <c r="P8" s="23"/>
      <c r="Q8" s="23"/>
      <c r="R8" s="23"/>
    </row>
    <row r="9" spans="1:18" s="21" customFormat="1" ht="30" customHeight="1">
      <c r="A9" s="44" t="str">
        <f>'ORÇAMENTO GLOBAL'!C6</f>
        <v>Cidade:</v>
      </c>
      <c r="B9" s="45" t="str">
        <f>DADOS!B4</f>
        <v>RIBAS DO RIO PARDO/MS</v>
      </c>
      <c r="C9" s="45"/>
      <c r="D9" s="45" t="str">
        <f>'ORÇAMENTO GLOBAL'!J6</f>
        <v>Data:</v>
      </c>
      <c r="E9" s="45" t="str">
        <f>'ORÇAMENTO GLOBAL'!K6</f>
        <v>MAR / 2021</v>
      </c>
      <c r="F9" s="14"/>
      <c r="G9" s="17"/>
      <c r="H9" s="24"/>
      <c r="K9" s="23"/>
      <c r="L9" s="23"/>
      <c r="M9" s="23"/>
      <c r="N9" s="23"/>
      <c r="O9" s="23"/>
      <c r="P9" s="23"/>
      <c r="Q9" s="23"/>
      <c r="R9" s="23"/>
    </row>
    <row r="10" spans="1:18" s="21" customFormat="1" ht="30" customHeight="1">
      <c r="A10" s="44" t="str">
        <f>'ORÇAMENTO GLOBAL'!C7</f>
        <v>Quant:</v>
      </c>
      <c r="B10" s="487">
        <f>DADOS!B5</f>
        <v>70</v>
      </c>
      <c r="C10" s="477" t="s">
        <v>64</v>
      </c>
      <c r="D10" s="45" t="str">
        <f>'ORÇAMENTO GLOBAL'!J7</f>
        <v>BDI:</v>
      </c>
      <c r="E10" s="488">
        <f>'ORÇAMENTO GLOBAL'!K7</f>
        <v>0.22219999999999995</v>
      </c>
      <c r="F10" s="14"/>
      <c r="G10" s="14"/>
      <c r="H10" s="25"/>
      <c r="I10" s="1"/>
      <c r="J10" s="5"/>
      <c r="K10" s="23"/>
      <c r="L10" s="23"/>
      <c r="M10" s="23"/>
      <c r="N10" s="23"/>
      <c r="O10" s="23"/>
      <c r="P10" s="23"/>
      <c r="Q10" s="23"/>
      <c r="R10" s="23"/>
    </row>
    <row r="11" spans="1:18" s="21" customFormat="1" ht="30" customHeight="1">
      <c r="A11" s="945" t="s">
        <v>52</v>
      </c>
      <c r="B11" s="945"/>
      <c r="C11" s="945"/>
      <c r="D11" s="945"/>
      <c r="E11" s="945"/>
      <c r="F11" s="26"/>
      <c r="G11" s="18"/>
      <c r="H11" s="27"/>
      <c r="I11" s="23"/>
      <c r="J11" s="20"/>
      <c r="K11" s="23"/>
      <c r="L11" s="23"/>
      <c r="M11" s="23"/>
      <c r="N11" s="23"/>
      <c r="O11" s="23"/>
      <c r="P11" s="23"/>
      <c r="Q11" s="23"/>
      <c r="R11" s="23"/>
    </row>
    <row r="12" spans="1:5" ht="15" customHeight="1">
      <c r="A12" s="946" t="s">
        <v>16</v>
      </c>
      <c r="B12" s="950" t="s">
        <v>219</v>
      </c>
      <c r="C12" s="951"/>
      <c r="D12" s="952"/>
      <c r="E12" s="948" t="s">
        <v>15</v>
      </c>
    </row>
    <row r="13" spans="1:5" ht="15" customHeight="1" thickBot="1">
      <c r="A13" s="947"/>
      <c r="B13" s="953"/>
      <c r="C13" s="954"/>
      <c r="D13" s="955"/>
      <c r="E13" s="949"/>
    </row>
    <row r="14" spans="1:5" ht="30" customHeight="1" thickTop="1">
      <c r="A14" s="478">
        <f>'ORÇAMENTO GLOBAL'!$D$13</f>
        <v>1</v>
      </c>
      <c r="B14" s="956" t="str">
        <f>'ORÇAMENTO GLOBAL'!$E$13</f>
        <v>SERVIÇOS PRELIMINARES/CANTEIRO DE OBRA</v>
      </c>
      <c r="C14" s="957"/>
      <c r="D14" s="479"/>
      <c r="E14" s="480">
        <f>'ORÇAMENTO GLOBAL'!$K$21</f>
        <v>0</v>
      </c>
    </row>
    <row r="15" spans="1:5" ht="30" customHeight="1">
      <c r="A15" s="481">
        <f>'ORÇAMENTO GLOBAL'!$D$22</f>
        <v>2</v>
      </c>
      <c r="B15" s="940" t="str">
        <f>'ORÇAMENTO GLOBAL'!$E$22</f>
        <v>FUNDAÇÕES E CONTENÇÕES</v>
      </c>
      <c r="C15" s="941"/>
      <c r="D15" s="482"/>
      <c r="E15" s="483">
        <f>'ORÇAMENTO GLOBAL'!$K$30</f>
        <v>0</v>
      </c>
    </row>
    <row r="16" spans="1:5" ht="30" customHeight="1">
      <c r="A16" s="481">
        <f>'ORÇAMENTO GLOBAL'!$D$31</f>
        <v>3</v>
      </c>
      <c r="B16" s="940" t="str">
        <f>'ORÇAMENTO GLOBAL'!$E$31</f>
        <v>ALVENARIA DE ELEVAÇÃO</v>
      </c>
      <c r="C16" s="941"/>
      <c r="D16" s="482"/>
      <c r="E16" s="483">
        <f>'ORÇAMENTO GLOBAL'!$K$33</f>
        <v>0</v>
      </c>
    </row>
    <row r="17" spans="1:5" ht="30" customHeight="1">
      <c r="A17" s="481">
        <f>'ORÇAMENTO GLOBAL'!$D$34</f>
        <v>4</v>
      </c>
      <c r="B17" s="940" t="str">
        <f>'ORÇAMENTO GLOBAL'!$E$34</f>
        <v>INSTALAÇÃO HIDRÁULICA</v>
      </c>
      <c r="C17" s="941"/>
      <c r="D17" s="482"/>
      <c r="E17" s="483">
        <f>'ORÇAMENTO GLOBAL'!$K$40</f>
        <v>0</v>
      </c>
    </row>
    <row r="18" spans="1:5" ht="30" customHeight="1">
      <c r="A18" s="481">
        <f>'ORÇAMENTO GLOBAL'!$D$41</f>
        <v>5</v>
      </c>
      <c r="B18" s="940" t="str">
        <f>'ORÇAMENTO GLOBAL'!$E$41</f>
        <v>INSTALAÇÃO SANITÁRIA</v>
      </c>
      <c r="C18" s="941"/>
      <c r="D18" s="482"/>
      <c r="E18" s="483">
        <f>'ORÇAMENTO GLOBAL'!K59</f>
        <v>0</v>
      </c>
    </row>
    <row r="19" spans="1:5" ht="30.75" customHeight="1">
      <c r="A19" s="484">
        <f>'ORÇAMENTO GLOBAL'!$D$60</f>
        <v>6</v>
      </c>
      <c r="B19" s="943" t="str">
        <f>'ORÇAMENTO GLOBAL'!$E$60</f>
        <v>LIMPEZA GERAL</v>
      </c>
      <c r="C19" s="944"/>
      <c r="D19" s="485"/>
      <c r="E19" s="486">
        <f>'ORÇAMENTO GLOBAL'!$K$63</f>
        <v>0</v>
      </c>
    </row>
    <row r="20" spans="1:8" ht="30" customHeight="1">
      <c r="A20" s="524" t="str">
        <f>'ORÇAMENTO GLOBAL'!C64</f>
        <v>TOTAL DA OBRA . . . . . . . . . . . . . . . . . . . . . . . . . . . . . . . . . . . . . . . . . . . . . . . . . . . . . . . . .  . . . . . . . . . . . . . . . . . . . . . . . . . . . . . . . </v>
      </c>
      <c r="B20" s="525"/>
      <c r="C20" s="525"/>
      <c r="D20" s="525"/>
      <c r="E20" s="526">
        <f>SUM(E14:E19)</f>
        <v>0</v>
      </c>
      <c r="F20" s="489"/>
      <c r="H20" s="545"/>
    </row>
    <row r="21" spans="1:5" ht="7.5" customHeight="1">
      <c r="A21" s="98"/>
      <c r="B21" s="99"/>
      <c r="C21" s="99"/>
      <c r="D21" s="99"/>
      <c r="E21" s="100"/>
    </row>
    <row r="22" spans="1:5" ht="24.75" customHeight="1">
      <c r="A22" s="922"/>
      <c r="B22" s="882"/>
      <c r="C22" s="882"/>
      <c r="D22" s="882"/>
      <c r="E22" s="923"/>
    </row>
    <row r="23" spans="1:5" ht="7.5" customHeight="1">
      <c r="A23" s="922"/>
      <c r="B23" s="882"/>
      <c r="C23" s="882"/>
      <c r="D23" s="882"/>
      <c r="E23" s="923"/>
    </row>
    <row r="24" spans="1:5" ht="24.75" customHeight="1">
      <c r="A24" s="922"/>
      <c r="B24" s="882"/>
      <c r="C24" s="882"/>
      <c r="D24" s="882"/>
      <c r="E24" s="923"/>
    </row>
    <row r="25" spans="1:5" ht="7.5" customHeight="1">
      <c r="A25" s="924"/>
      <c r="B25" s="925"/>
      <c r="C25" s="925"/>
      <c r="D25" s="925"/>
      <c r="E25" s="926"/>
    </row>
    <row r="26" spans="1:5" ht="39" customHeight="1">
      <c r="A26" s="927"/>
      <c r="B26" s="928"/>
      <c r="C26" s="929"/>
      <c r="D26" s="928"/>
      <c r="E26" s="926"/>
    </row>
    <row r="27" spans="1:5" ht="15">
      <c r="A27" s="930"/>
      <c r="B27" s="882"/>
      <c r="C27" s="916"/>
      <c r="D27" s="882"/>
      <c r="E27" s="926"/>
    </row>
    <row r="28" spans="1:5" ht="12.75">
      <c r="A28" s="930"/>
      <c r="B28" s="882"/>
      <c r="C28" s="931"/>
      <c r="D28" s="882"/>
      <c r="E28" s="923"/>
    </row>
    <row r="29" spans="1:5" ht="12.75">
      <c r="A29" s="930"/>
      <c r="B29" s="882"/>
      <c r="C29" s="931"/>
      <c r="D29" s="882"/>
      <c r="E29" s="923"/>
    </row>
    <row r="30" spans="1:4" ht="12.75">
      <c r="A30" s="9"/>
      <c r="B30" s="10"/>
      <c r="C30" s="10"/>
      <c r="D30" s="10"/>
    </row>
    <row r="31" spans="1:4" ht="12.75">
      <c r="A31" s="9"/>
      <c r="B31" s="10"/>
      <c r="C31" s="10"/>
      <c r="D31" s="10"/>
    </row>
    <row r="32" spans="1:6" ht="12.75">
      <c r="A32" s="517"/>
      <c r="B32" s="518"/>
      <c r="C32" s="518"/>
      <c r="D32" s="518"/>
      <c r="E32" s="519"/>
      <c r="F32" s="520"/>
    </row>
    <row r="33" spans="1:6" ht="12.75">
      <c r="A33" s="517"/>
      <c r="B33" s="518"/>
      <c r="C33" s="518"/>
      <c r="D33" s="518"/>
      <c r="E33" s="519"/>
      <c r="F33" s="520"/>
    </row>
    <row r="34" spans="1:6" ht="15">
      <c r="A34" s="521"/>
      <c r="B34" s="522"/>
      <c r="C34" s="522"/>
      <c r="D34" s="522"/>
      <c r="E34" s="523"/>
      <c r="F34" s="520"/>
    </row>
    <row r="35" spans="1:5" ht="15">
      <c r="A35" s="98"/>
      <c r="B35" s="99"/>
      <c r="C35" s="99"/>
      <c r="D35" s="99"/>
      <c r="E35" s="100"/>
    </row>
    <row r="36" spans="1:4" ht="12.75">
      <c r="A36" s="9"/>
      <c r="B36" s="10"/>
      <c r="C36" s="10"/>
      <c r="D36" s="10"/>
    </row>
    <row r="37" spans="1:4" ht="12.75">
      <c r="A37" s="9"/>
      <c r="B37" s="10"/>
      <c r="C37" s="10"/>
      <c r="D37" s="10"/>
    </row>
    <row r="38" spans="1:4" ht="12.75">
      <c r="A38" s="9"/>
      <c r="B38" s="10"/>
      <c r="C38" s="10"/>
      <c r="D38" s="10"/>
    </row>
    <row r="39" spans="1:4" ht="12.75">
      <c r="A39" s="9"/>
      <c r="B39" s="10"/>
      <c r="C39" s="10"/>
      <c r="D39" s="10"/>
    </row>
    <row r="40" spans="1:4" ht="12.75">
      <c r="A40" s="9"/>
      <c r="B40" s="10"/>
      <c r="C40" s="10"/>
      <c r="D40" s="10"/>
    </row>
    <row r="41" spans="1:4" ht="12.75">
      <c r="A41" s="9"/>
      <c r="B41" s="10"/>
      <c r="C41" s="10"/>
      <c r="D41" s="10"/>
    </row>
    <row r="42" spans="1:4" ht="12.75">
      <c r="A42" s="9"/>
      <c r="B42" s="10"/>
      <c r="C42" s="10"/>
      <c r="D42" s="10"/>
    </row>
    <row r="43" spans="1:4" ht="12.75">
      <c r="A43" s="9"/>
      <c r="B43" s="10"/>
      <c r="C43" s="10"/>
      <c r="D43" s="10"/>
    </row>
    <row r="44" spans="1:4" ht="12.75">
      <c r="A44" s="9"/>
      <c r="B44" s="10"/>
      <c r="C44" s="10"/>
      <c r="D44" s="10"/>
    </row>
    <row r="45" spans="1:4" ht="12.75">
      <c r="A45" s="9"/>
      <c r="B45" s="10"/>
      <c r="C45" s="10"/>
      <c r="D45" s="10"/>
    </row>
    <row r="46" spans="1:4" ht="12.75">
      <c r="A46" s="9"/>
      <c r="B46" s="10"/>
      <c r="C46" s="10"/>
      <c r="D46" s="10"/>
    </row>
    <row r="47" spans="1:4" ht="12.75">
      <c r="A47" s="9"/>
      <c r="B47" s="10"/>
      <c r="C47" s="10"/>
      <c r="D47" s="10"/>
    </row>
    <row r="48" spans="1:4" ht="12.75">
      <c r="A48" s="9"/>
      <c r="B48" s="10"/>
      <c r="C48" s="10"/>
      <c r="D48" s="10"/>
    </row>
    <row r="49" spans="1:4" ht="12.75">
      <c r="A49" s="9"/>
      <c r="B49" s="10"/>
      <c r="C49" s="10"/>
      <c r="D49" s="10"/>
    </row>
    <row r="50" spans="1:4" ht="12.75">
      <c r="A50" s="9"/>
      <c r="B50" s="10"/>
      <c r="C50" s="10"/>
      <c r="D50" s="10"/>
    </row>
    <row r="51" spans="1:4" ht="12.75">
      <c r="A51" s="9"/>
      <c r="B51" s="10"/>
      <c r="C51" s="10"/>
      <c r="D51" s="10"/>
    </row>
    <row r="52" spans="1:4" ht="12.75">
      <c r="A52" s="9"/>
      <c r="B52" s="10"/>
      <c r="C52" s="10"/>
      <c r="D52" s="10"/>
    </row>
    <row r="53" spans="1:4" ht="12.75">
      <c r="A53" s="9"/>
      <c r="B53" s="10"/>
      <c r="C53" s="10"/>
      <c r="D53" s="10"/>
    </row>
    <row r="54" spans="1:4" ht="12.75">
      <c r="A54" s="9"/>
      <c r="B54" s="10"/>
      <c r="C54" s="10"/>
      <c r="D54" s="10"/>
    </row>
    <row r="55" spans="1:4" ht="12.75">
      <c r="A55" s="9"/>
      <c r="B55" s="10"/>
      <c r="C55" s="10"/>
      <c r="D55" s="10"/>
    </row>
    <row r="56" spans="1:4" ht="12.75">
      <c r="A56" s="9"/>
      <c r="B56" s="10"/>
      <c r="C56" s="10"/>
      <c r="D56" s="10"/>
    </row>
    <row r="57" spans="1:4" ht="12.75">
      <c r="A57" s="9"/>
      <c r="B57" s="10"/>
      <c r="C57" s="10"/>
      <c r="D57" s="10"/>
    </row>
    <row r="58" spans="1:4" ht="12.75">
      <c r="A58" s="9"/>
      <c r="B58" s="10"/>
      <c r="C58" s="10"/>
      <c r="D58" s="10"/>
    </row>
    <row r="59" spans="1:4" ht="12.75">
      <c r="A59" s="9"/>
      <c r="B59" s="10"/>
      <c r="C59" s="10"/>
      <c r="D59" s="10"/>
    </row>
    <row r="60" spans="1:4" ht="12.75">
      <c r="A60" s="9"/>
      <c r="B60" s="10"/>
      <c r="C60" s="10"/>
      <c r="D60" s="10"/>
    </row>
    <row r="61" spans="1:4" ht="12.75">
      <c r="A61" s="9"/>
      <c r="B61" s="10"/>
      <c r="C61" s="10"/>
      <c r="D61" s="10"/>
    </row>
    <row r="62" spans="1:4" ht="12.75">
      <c r="A62" s="9"/>
      <c r="B62" s="10"/>
      <c r="C62" s="10"/>
      <c r="D62" s="10"/>
    </row>
    <row r="63" spans="1:4" ht="12.75">
      <c r="A63" s="9"/>
      <c r="B63" s="10"/>
      <c r="C63" s="10"/>
      <c r="D63" s="10"/>
    </row>
    <row r="64" spans="1:4" ht="12.75">
      <c r="A64" s="9"/>
      <c r="B64" s="10"/>
      <c r="C64" s="10"/>
      <c r="D64" s="10"/>
    </row>
    <row r="65" spans="1:4" ht="12.75">
      <c r="A65" s="9"/>
      <c r="B65" s="10"/>
      <c r="C65" s="10"/>
      <c r="D65" s="10"/>
    </row>
    <row r="66" spans="1:4" ht="12.75">
      <c r="A66" s="9"/>
      <c r="B66" s="10"/>
      <c r="C66" s="10"/>
      <c r="D66" s="10"/>
    </row>
    <row r="67" spans="1:4" ht="12.75">
      <c r="A67" s="9"/>
      <c r="B67" s="10"/>
      <c r="C67" s="10"/>
      <c r="D67" s="10"/>
    </row>
    <row r="68" spans="1:4" ht="12.75">
      <c r="A68" s="9"/>
      <c r="B68" s="10"/>
      <c r="C68" s="10"/>
      <c r="D68" s="10"/>
    </row>
    <row r="69" spans="1:4" ht="12.75">
      <c r="A69" s="9"/>
      <c r="B69" s="10"/>
      <c r="C69" s="10"/>
      <c r="D69" s="10"/>
    </row>
    <row r="70" spans="1:4" ht="12.75">
      <c r="A70" s="9"/>
      <c r="B70" s="10"/>
      <c r="C70" s="10"/>
      <c r="D70" s="10"/>
    </row>
    <row r="71" spans="1:4" ht="12.75">
      <c r="A71" s="9"/>
      <c r="B71" s="10"/>
      <c r="C71" s="10"/>
      <c r="D71" s="10"/>
    </row>
    <row r="72" spans="1:4" ht="12.75">
      <c r="A72" s="9"/>
      <c r="B72" s="10"/>
      <c r="C72" s="10"/>
      <c r="D72" s="10"/>
    </row>
    <row r="73" spans="1:4" ht="12.75">
      <c r="A73" s="9"/>
      <c r="B73" s="10"/>
      <c r="C73" s="10"/>
      <c r="D73" s="10"/>
    </row>
    <row r="74" spans="1:4" ht="12.75">
      <c r="A74" s="9"/>
      <c r="B74" s="10"/>
      <c r="C74" s="10"/>
      <c r="D74" s="10"/>
    </row>
    <row r="75" spans="1:4" ht="12.75">
      <c r="A75" s="9"/>
      <c r="B75" s="10"/>
      <c r="C75" s="10"/>
      <c r="D75" s="10"/>
    </row>
    <row r="76" spans="1:4" ht="12.75">
      <c r="A76" s="9"/>
      <c r="B76" s="10"/>
      <c r="C76" s="10"/>
      <c r="D76" s="10"/>
    </row>
    <row r="77" spans="1:4" ht="12.75">
      <c r="A77" s="9"/>
      <c r="B77" s="10"/>
      <c r="C77" s="10"/>
      <c r="D77" s="10"/>
    </row>
    <row r="78" spans="1:4" ht="12.75">
      <c r="A78" s="9"/>
      <c r="B78" s="10"/>
      <c r="C78" s="10"/>
      <c r="D78" s="10"/>
    </row>
    <row r="79" spans="1:4" ht="12.75">
      <c r="A79" s="9"/>
      <c r="B79" s="10"/>
      <c r="C79" s="10"/>
      <c r="D79" s="10"/>
    </row>
    <row r="80" spans="1:4" ht="12.75">
      <c r="A80" s="9"/>
      <c r="B80" s="10"/>
      <c r="C80" s="10"/>
      <c r="D80" s="10"/>
    </row>
    <row r="81" spans="1:4" ht="12.75">
      <c r="A81" s="9"/>
      <c r="B81" s="10"/>
      <c r="C81" s="10"/>
      <c r="D81" s="10"/>
    </row>
    <row r="82" spans="1:4" ht="12.75">
      <c r="A82" s="9"/>
      <c r="B82" s="10"/>
      <c r="C82" s="10"/>
      <c r="D82" s="10"/>
    </row>
    <row r="83" spans="1:4" ht="12.75">
      <c r="A83" s="9"/>
      <c r="B83" s="10"/>
      <c r="C83" s="10"/>
      <c r="D83" s="10"/>
    </row>
    <row r="84" spans="1:4" ht="12.75">
      <c r="A84" s="9"/>
      <c r="B84" s="10"/>
      <c r="C84" s="10"/>
      <c r="D84" s="10"/>
    </row>
    <row r="85" spans="1:4" ht="12.75">
      <c r="A85" s="9"/>
      <c r="B85" s="10"/>
      <c r="C85" s="10"/>
      <c r="D85" s="10"/>
    </row>
    <row r="86" spans="1:4" ht="12.75">
      <c r="A86" s="9"/>
      <c r="B86" s="10"/>
      <c r="C86" s="10"/>
      <c r="D86" s="10"/>
    </row>
    <row r="87" spans="1:4" ht="12.75">
      <c r="A87" s="9"/>
      <c r="B87" s="10"/>
      <c r="C87" s="10"/>
      <c r="D87" s="10"/>
    </row>
    <row r="88" spans="1:4" ht="12.75">
      <c r="A88" s="9"/>
      <c r="B88" s="10"/>
      <c r="C88" s="10"/>
      <c r="D88" s="10"/>
    </row>
    <row r="89" spans="1:4" ht="12.75">
      <c r="A89" s="9"/>
      <c r="B89" s="10"/>
      <c r="C89" s="10"/>
      <c r="D89" s="10"/>
    </row>
    <row r="90" spans="1:4" ht="12.75">
      <c r="A90" s="9"/>
      <c r="B90" s="10"/>
      <c r="C90" s="10"/>
      <c r="D90" s="10"/>
    </row>
    <row r="91" spans="1:4" ht="12.75">
      <c r="A91" s="9"/>
      <c r="B91" s="10"/>
      <c r="C91" s="10"/>
      <c r="D91" s="10"/>
    </row>
    <row r="92" spans="1:4" ht="12.75">
      <c r="A92" s="9"/>
      <c r="B92" s="10"/>
      <c r="C92" s="10"/>
      <c r="D92" s="10"/>
    </row>
    <row r="93" spans="1:4" ht="12.75">
      <c r="A93" s="9"/>
      <c r="B93" s="10"/>
      <c r="C93" s="10"/>
      <c r="D93" s="10"/>
    </row>
    <row r="94" spans="1:4" ht="12.75">
      <c r="A94" s="9"/>
      <c r="B94" s="10"/>
      <c r="C94" s="10"/>
      <c r="D94" s="10"/>
    </row>
    <row r="95" spans="1:4" ht="12.75">
      <c r="A95" s="9"/>
      <c r="B95" s="10"/>
      <c r="C95" s="10"/>
      <c r="D95" s="10"/>
    </row>
    <row r="96" spans="1:4" ht="12.75">
      <c r="A96" s="9"/>
      <c r="B96" s="10"/>
      <c r="C96" s="10"/>
      <c r="D96" s="10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</sheetData>
  <sheetProtection password="C5D3" sheet="1"/>
  <mergeCells count="11">
    <mergeCell ref="B14:C14"/>
    <mergeCell ref="B15:C15"/>
    <mergeCell ref="B8:C8"/>
    <mergeCell ref="B16:C16"/>
    <mergeCell ref="B17:C17"/>
    <mergeCell ref="B18:C18"/>
    <mergeCell ref="B19:C19"/>
    <mergeCell ref="A11:E11"/>
    <mergeCell ref="A12:A13"/>
    <mergeCell ref="E12:E13"/>
    <mergeCell ref="B12:D13"/>
  </mergeCells>
  <printOptions horizontalCentered="1"/>
  <pageMargins left="0.4330708661417323" right="0.4330708661417323" top="0.4724409448818898" bottom="0.5905511811023623" header="0.5118110236220472" footer="0.5118110236220472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9"/>
  <sheetViews>
    <sheetView view="pageBreakPreview" zoomScale="85" zoomScaleSheetLayoutView="85" zoomScalePageLayoutView="0" workbookViewId="0" topLeftCell="A5">
      <selection activeCell="M22" sqref="M22"/>
    </sheetView>
  </sheetViews>
  <sheetFormatPr defaultColWidth="14.8515625" defaultRowHeight="12.75"/>
  <cols>
    <col min="1" max="1" width="6.7109375" style="47" customWidth="1"/>
    <col min="2" max="2" width="13.00390625" style="47" customWidth="1"/>
    <col min="3" max="3" width="29.421875" style="47" customWidth="1"/>
    <col min="4" max="4" width="4.140625" style="47" bestFit="1" customWidth="1"/>
    <col min="5" max="5" width="10.7109375" style="49" customWidth="1"/>
    <col min="6" max="6" width="16.7109375" style="50" customWidth="1"/>
    <col min="7" max="9" width="14.7109375" style="49" customWidth="1"/>
    <col min="10" max="10" width="17.28125" style="49" customWidth="1"/>
    <col min="11" max="11" width="12.28125" style="51" bestFit="1" customWidth="1"/>
    <col min="12" max="12" width="17.28125" style="52" bestFit="1" customWidth="1"/>
    <col min="13" max="13" width="19.7109375" style="47" bestFit="1" customWidth="1"/>
    <col min="14" max="16384" width="14.8515625" style="47" customWidth="1"/>
  </cols>
  <sheetData>
    <row r="1" spans="2:3" ht="55.5" customHeight="1">
      <c r="B1" s="48" t="s">
        <v>54</v>
      </c>
      <c r="C1" s="48"/>
    </row>
    <row r="2" spans="1:10" ht="8.25" customHeight="1">
      <c r="A2" s="133"/>
      <c r="B2" s="493"/>
      <c r="C2" s="493"/>
      <c r="D2" s="133"/>
      <c r="E2" s="494"/>
      <c r="F2" s="495"/>
      <c r="G2" s="494"/>
      <c r="H2" s="494"/>
      <c r="I2" s="494"/>
      <c r="J2" s="494"/>
    </row>
    <row r="3" spans="1:12" s="53" customFormat="1" ht="23.25" customHeight="1">
      <c r="A3" s="57"/>
      <c r="B3" s="106" t="s">
        <v>14</v>
      </c>
      <c r="C3" s="56" t="s">
        <v>225</v>
      </c>
      <c r="D3" s="57"/>
      <c r="E3" s="89"/>
      <c r="F3" s="59"/>
      <c r="G3" s="60"/>
      <c r="H3" s="60"/>
      <c r="I3" s="60">
        <f>'ORÇAMENTO GLOBAL'!J4</f>
        <v>0</v>
      </c>
      <c r="J3" s="60">
        <f>'ORÇAMENTO GLOBAL'!K4</f>
        <v>0</v>
      </c>
      <c r="K3" s="54"/>
      <c r="L3" s="55"/>
    </row>
    <row r="4" spans="1:12" s="53" customFormat="1" ht="23.25" customHeight="1">
      <c r="A4" s="57"/>
      <c r="B4" s="106" t="s">
        <v>224</v>
      </c>
      <c r="C4" s="56" t="str">
        <f>'ORÇAMENTO RESUMIDO'!B8</f>
        <v>LOTEAMENTO JARDIM DOS ESTADOS</v>
      </c>
      <c r="D4" s="57"/>
      <c r="E4" s="89"/>
      <c r="F4" s="59"/>
      <c r="G4" s="60"/>
      <c r="H4" s="60"/>
      <c r="I4" s="60">
        <f>'ORÇAMENTO GLOBAL'!J5</f>
        <v>0</v>
      </c>
      <c r="J4" s="60"/>
      <c r="K4" s="54"/>
      <c r="L4" s="55"/>
    </row>
    <row r="5" spans="1:12" s="53" customFormat="1" ht="23.25" customHeight="1">
      <c r="A5" s="57"/>
      <c r="B5" s="106" t="s">
        <v>13</v>
      </c>
      <c r="C5" s="56" t="str">
        <f>'ORÇAMENTO RESUMIDO'!B9</f>
        <v>RIBAS DO RIO PARDO/MS</v>
      </c>
      <c r="D5" s="57"/>
      <c r="E5" s="57"/>
      <c r="F5" s="58"/>
      <c r="G5" s="57"/>
      <c r="H5" s="57"/>
      <c r="I5" s="60" t="str">
        <f>'ORÇAMENTO GLOBAL'!J6</f>
        <v>Data:</v>
      </c>
      <c r="J5" s="60" t="str">
        <f>'ORÇAMENTO GLOBAL'!K6</f>
        <v>MAR / 2021</v>
      </c>
      <c r="K5" s="54"/>
      <c r="L5" s="55"/>
    </row>
    <row r="6" spans="1:12" s="53" customFormat="1" ht="23.25" customHeight="1">
      <c r="A6" s="57"/>
      <c r="B6" s="106" t="s">
        <v>63</v>
      </c>
      <c r="C6" s="549">
        <f>'ORÇAMENTO RESUMIDO'!B10</f>
        <v>70</v>
      </c>
      <c r="D6" s="492" t="s">
        <v>17</v>
      </c>
      <c r="E6" s="57"/>
      <c r="F6" s="58"/>
      <c r="G6" s="57"/>
      <c r="H6" s="57"/>
      <c r="I6" s="57"/>
      <c r="J6" s="57"/>
      <c r="K6" s="54"/>
      <c r="L6" s="55"/>
    </row>
    <row r="7" spans="1:12" s="53" customFormat="1" ht="6" customHeight="1">
      <c r="A7" s="57"/>
      <c r="B7" s="106"/>
      <c r="C7" s="492"/>
      <c r="D7" s="492"/>
      <c r="E7" s="57"/>
      <c r="F7" s="58"/>
      <c r="G7" s="57"/>
      <c r="H7" s="57"/>
      <c r="I7" s="57"/>
      <c r="J7" s="57"/>
      <c r="K7" s="54"/>
      <c r="L7" s="55"/>
    </row>
    <row r="8" spans="1:12" s="53" customFormat="1" ht="30" customHeight="1" thickBot="1">
      <c r="A8" s="963" t="s">
        <v>223</v>
      </c>
      <c r="B8" s="963"/>
      <c r="C8" s="963"/>
      <c r="D8" s="963"/>
      <c r="E8" s="963"/>
      <c r="F8" s="963"/>
      <c r="G8" s="963"/>
      <c r="H8" s="963"/>
      <c r="I8" s="963"/>
      <c r="J8" s="963"/>
      <c r="K8" s="54"/>
      <c r="L8" s="55"/>
    </row>
    <row r="9" spans="1:10" ht="19.5" customHeight="1">
      <c r="A9" s="964" t="s">
        <v>16</v>
      </c>
      <c r="B9" s="966" t="s">
        <v>56</v>
      </c>
      <c r="C9" s="967"/>
      <c r="D9" s="968"/>
      <c r="E9" s="972" t="s">
        <v>46</v>
      </c>
      <c r="F9" s="974" t="s">
        <v>57</v>
      </c>
      <c r="G9" s="958" t="s">
        <v>311</v>
      </c>
      <c r="H9" s="959"/>
      <c r="I9" s="959"/>
      <c r="J9" s="959"/>
    </row>
    <row r="10" spans="1:10" ht="19.5" customHeight="1" thickBot="1">
      <c r="A10" s="965"/>
      <c r="B10" s="969"/>
      <c r="C10" s="970"/>
      <c r="D10" s="971"/>
      <c r="E10" s="973"/>
      <c r="F10" s="975"/>
      <c r="G10" s="527" t="s">
        <v>272</v>
      </c>
      <c r="H10" s="537" t="s">
        <v>273</v>
      </c>
      <c r="I10" s="537" t="s">
        <v>274</v>
      </c>
      <c r="J10" s="537" t="s">
        <v>275</v>
      </c>
    </row>
    <row r="11" spans="1:11" ht="19.5" customHeight="1" thickTop="1">
      <c r="A11" s="983">
        <f>'ORÇAMENTO RESUMIDO'!A14</f>
        <v>1</v>
      </c>
      <c r="B11" s="984" t="str">
        <f>'ORÇAMENTO RESUMIDO'!B14:C14</f>
        <v>SERVIÇOS PRELIMINARES/CANTEIRO DE OBRA</v>
      </c>
      <c r="C11" s="985"/>
      <c r="D11" s="986"/>
      <c r="E11" s="960" t="e">
        <f>F11/$F$23</f>
        <v>#DIV/0!</v>
      </c>
      <c r="F11" s="982">
        <f>'ORÇAMENTO RESUMIDO'!E14</f>
        <v>0</v>
      </c>
      <c r="G11" s="538">
        <v>0.7</v>
      </c>
      <c r="H11" s="568">
        <v>0.15</v>
      </c>
      <c r="I11" s="569">
        <v>0.15</v>
      </c>
      <c r="J11" s="740"/>
      <c r="K11" s="104"/>
    </row>
    <row r="12" spans="1:12" ht="19.5" customHeight="1">
      <c r="A12" s="977"/>
      <c r="B12" s="978"/>
      <c r="C12" s="979"/>
      <c r="D12" s="980"/>
      <c r="E12" s="961"/>
      <c r="F12" s="962"/>
      <c r="G12" s="539">
        <f>ROUND($F$11*G11,2)</f>
        <v>0</v>
      </c>
      <c r="H12" s="570">
        <f>ROUND($F$11*H11,2)</f>
        <v>0</v>
      </c>
      <c r="I12" s="542">
        <f>ROUND($F$11*I11,2)</f>
        <v>0</v>
      </c>
      <c r="J12" s="741"/>
      <c r="K12" s="105">
        <f aca="true" t="shared" si="0" ref="K12:K22">ROUND(G12+H12+I12+J12,2)</f>
        <v>0</v>
      </c>
      <c r="L12" s="536" t="b">
        <f>F11=K12</f>
        <v>1</v>
      </c>
    </row>
    <row r="13" spans="1:11" ht="19.5" customHeight="1">
      <c r="A13" s="976">
        <f>'ORÇAMENTO RESUMIDO'!A15</f>
        <v>2</v>
      </c>
      <c r="B13" s="978" t="str">
        <f>'ORÇAMENTO RESUMIDO'!B15:C15</f>
        <v>FUNDAÇÕES E CONTENÇÕES</v>
      </c>
      <c r="C13" s="979"/>
      <c r="D13" s="980"/>
      <c r="E13" s="960" t="e">
        <f>F13/$F$23</f>
        <v>#DIV/0!</v>
      </c>
      <c r="F13" s="962">
        <f>'ORÇAMENTO RESUMIDO'!E15</f>
        <v>0</v>
      </c>
      <c r="G13" s="63"/>
      <c r="H13" s="540">
        <v>0.4</v>
      </c>
      <c r="I13" s="540">
        <v>0.45</v>
      </c>
      <c r="J13" s="540">
        <v>0.15</v>
      </c>
      <c r="K13" s="105"/>
    </row>
    <row r="14" spans="1:12" ht="19.5" customHeight="1">
      <c r="A14" s="977"/>
      <c r="B14" s="978"/>
      <c r="C14" s="979"/>
      <c r="D14" s="980"/>
      <c r="E14" s="961"/>
      <c r="F14" s="962"/>
      <c r="G14" s="535"/>
      <c r="H14" s="542">
        <f>ROUND($F$13*H13,2)</f>
        <v>0</v>
      </c>
      <c r="I14" s="542">
        <f>ROUND($F$13*I13,2)</f>
        <v>0</v>
      </c>
      <c r="J14" s="542">
        <f>ROUND($F$13*J13,2)</f>
        <v>0</v>
      </c>
      <c r="K14" s="105">
        <f t="shared" si="0"/>
        <v>0</v>
      </c>
      <c r="L14" s="536" t="b">
        <f>F13=K14</f>
        <v>1</v>
      </c>
    </row>
    <row r="15" spans="1:11" ht="19.5" customHeight="1">
      <c r="A15" s="976">
        <f>'ORÇAMENTO RESUMIDO'!A16</f>
        <v>3</v>
      </c>
      <c r="B15" s="978" t="str">
        <f>'ORÇAMENTO RESUMIDO'!B16:C16</f>
        <v>ALVENARIA DE ELEVAÇÃO</v>
      </c>
      <c r="C15" s="979"/>
      <c r="D15" s="980"/>
      <c r="E15" s="960" t="e">
        <f>F15/$F$23</f>
        <v>#DIV/0!</v>
      </c>
      <c r="F15" s="981">
        <f>'ORÇAMENTO RESUMIDO'!E16</f>
        <v>0</v>
      </c>
      <c r="G15" s="63"/>
      <c r="H15" s="541"/>
      <c r="I15" s="540">
        <v>0.75</v>
      </c>
      <c r="J15" s="540">
        <v>0.25</v>
      </c>
      <c r="K15" s="105"/>
    </row>
    <row r="16" spans="1:12" ht="19.5" customHeight="1">
      <c r="A16" s="977"/>
      <c r="B16" s="978"/>
      <c r="C16" s="979"/>
      <c r="D16" s="980"/>
      <c r="E16" s="961"/>
      <c r="F16" s="982"/>
      <c r="G16" s="535"/>
      <c r="H16" s="62"/>
      <c r="I16" s="542">
        <f>ROUND($F$15*I15,2)</f>
        <v>0</v>
      </c>
      <c r="J16" s="542">
        <f>ROUND($F$15*J15,2)</f>
        <v>0</v>
      </c>
      <c r="K16" s="105">
        <f t="shared" si="0"/>
        <v>0</v>
      </c>
      <c r="L16" s="536" t="b">
        <f>F15=K16</f>
        <v>1</v>
      </c>
    </row>
    <row r="17" spans="1:11" ht="19.5" customHeight="1">
      <c r="A17" s="976">
        <f>'ORÇAMENTO RESUMIDO'!A17</f>
        <v>4</v>
      </c>
      <c r="B17" s="978" t="str">
        <f>'ORÇAMENTO RESUMIDO'!B17:C17</f>
        <v>INSTALAÇÃO HIDRÁULICA</v>
      </c>
      <c r="C17" s="979"/>
      <c r="D17" s="980"/>
      <c r="E17" s="960" t="e">
        <f>F17/$F$23</f>
        <v>#DIV/0!</v>
      </c>
      <c r="F17" s="981">
        <f>'ORÇAMENTO RESUMIDO'!E17</f>
        <v>0</v>
      </c>
      <c r="G17" s="64">
        <v>0.4</v>
      </c>
      <c r="H17" s="64">
        <v>0.3</v>
      </c>
      <c r="I17" s="64">
        <v>0.3</v>
      </c>
      <c r="J17" s="742"/>
      <c r="K17" s="105"/>
    </row>
    <row r="18" spans="1:12" ht="19.5" customHeight="1">
      <c r="A18" s="977"/>
      <c r="B18" s="978"/>
      <c r="C18" s="979"/>
      <c r="D18" s="980"/>
      <c r="E18" s="961"/>
      <c r="F18" s="982"/>
      <c r="G18" s="498">
        <f>ROUND($F$17*G17,2)</f>
        <v>0</v>
      </c>
      <c r="H18" s="498">
        <f>ROUND($F$17*H17,2)</f>
        <v>0</v>
      </c>
      <c r="I18" s="498">
        <f>ROUND($F$17*I17,2)</f>
        <v>0</v>
      </c>
      <c r="J18" s="741"/>
      <c r="K18" s="105">
        <f t="shared" si="0"/>
        <v>0</v>
      </c>
      <c r="L18" s="536" t="b">
        <f>F17=K18</f>
        <v>1</v>
      </c>
    </row>
    <row r="19" spans="1:11" ht="19.5" customHeight="1">
      <c r="A19" s="976">
        <f>'ORÇAMENTO RESUMIDO'!A18</f>
        <v>5</v>
      </c>
      <c r="B19" s="978" t="str">
        <f>'ORÇAMENTO RESUMIDO'!B18:C18</f>
        <v>INSTALAÇÃO SANITÁRIA</v>
      </c>
      <c r="C19" s="979"/>
      <c r="D19" s="980"/>
      <c r="E19" s="960" t="e">
        <f>F19/$F$23</f>
        <v>#DIV/0!</v>
      </c>
      <c r="F19" s="981">
        <f>'ORÇAMENTO RESUMIDO'!E18</f>
        <v>0</v>
      </c>
      <c r="G19" s="540">
        <v>0.4</v>
      </c>
      <c r="H19" s="540">
        <v>0.25</v>
      </c>
      <c r="I19" s="540">
        <v>0.3</v>
      </c>
      <c r="J19" s="540">
        <v>0.05</v>
      </c>
      <c r="K19" s="105"/>
    </row>
    <row r="20" spans="1:12" ht="19.5" customHeight="1">
      <c r="A20" s="977"/>
      <c r="B20" s="978"/>
      <c r="C20" s="979"/>
      <c r="D20" s="980"/>
      <c r="E20" s="961"/>
      <c r="F20" s="982"/>
      <c r="G20" s="498">
        <f>ROUND($F$19*G19,2)</f>
        <v>0</v>
      </c>
      <c r="H20" s="498">
        <f>ROUND($F$19*H19,2)</f>
        <v>0</v>
      </c>
      <c r="I20" s="498">
        <f>ROUND($F$19*I19,2)</f>
        <v>0</v>
      </c>
      <c r="J20" s="498">
        <f>ROUND($F$19*J19,2)-0.01</f>
        <v>-0.01</v>
      </c>
      <c r="K20" s="105">
        <f t="shared" si="0"/>
        <v>-0.01</v>
      </c>
      <c r="L20" s="536" t="b">
        <f>F19=K20</f>
        <v>0</v>
      </c>
    </row>
    <row r="21" spans="1:11" ht="19.5" customHeight="1">
      <c r="A21" s="976">
        <f>'ORÇAMENTO RESUMIDO'!A19</f>
        <v>6</v>
      </c>
      <c r="B21" s="978" t="str">
        <f>'ORÇAMENTO RESUMIDO'!B19:C19</f>
        <v>LIMPEZA GERAL</v>
      </c>
      <c r="C21" s="979"/>
      <c r="D21" s="980"/>
      <c r="E21" s="990" t="e">
        <f>F21/$F$23</f>
        <v>#DIV/0!</v>
      </c>
      <c r="F21" s="962">
        <f>'ORÇAMENTO RESUMIDO'!E19</f>
        <v>0</v>
      </c>
      <c r="G21" s="543"/>
      <c r="H21" s="61"/>
      <c r="I21" s="61"/>
      <c r="J21" s="107">
        <v>1</v>
      </c>
      <c r="K21" s="105"/>
    </row>
    <row r="22" spans="1:12" ht="19.5" customHeight="1" thickBot="1">
      <c r="A22" s="977"/>
      <c r="B22" s="987"/>
      <c r="C22" s="988"/>
      <c r="D22" s="989"/>
      <c r="E22" s="991"/>
      <c r="F22" s="962"/>
      <c r="G22" s="65"/>
      <c r="H22" s="66"/>
      <c r="I22" s="66"/>
      <c r="J22" s="499">
        <f>F21*J21</f>
        <v>0</v>
      </c>
      <c r="K22" s="105">
        <f t="shared" si="0"/>
        <v>0</v>
      </c>
      <c r="L22" s="536" t="b">
        <f>F21=K22</f>
        <v>1</v>
      </c>
    </row>
    <row r="23" spans="1:12" s="69" customFormat="1" ht="24.75" customHeight="1" thickTop="1">
      <c r="A23" s="528" t="s">
        <v>58</v>
      </c>
      <c r="B23" s="529"/>
      <c r="C23" s="530"/>
      <c r="D23" s="531"/>
      <c r="E23" s="992"/>
      <c r="F23" s="994">
        <f>SUM(F11:F22)</f>
        <v>0</v>
      </c>
      <c r="G23" s="546">
        <f>G12+G14+G16+G18+G20+G22</f>
        <v>0</v>
      </c>
      <c r="H23" s="548">
        <f>H12+H14+H16+H18+H20+H22</f>
        <v>0</v>
      </c>
      <c r="I23" s="547">
        <f>I12+I14+I16+I18+I20+I22</f>
        <v>0</v>
      </c>
      <c r="J23" s="547">
        <f>J12+J14+J16+J18+J20+J22</f>
        <v>-0.01</v>
      </c>
      <c r="K23" s="67"/>
      <c r="L23" s="68"/>
    </row>
    <row r="24" spans="1:13" s="69" customFormat="1" ht="24.75" customHeight="1" thickBot="1">
      <c r="A24" s="70" t="s">
        <v>59</v>
      </c>
      <c r="B24" s="71"/>
      <c r="C24" s="71"/>
      <c r="D24" s="72"/>
      <c r="E24" s="993"/>
      <c r="F24" s="995"/>
      <c r="G24" s="496">
        <f>G23</f>
        <v>0</v>
      </c>
      <c r="H24" s="497">
        <f>G24+H23</f>
        <v>0</v>
      </c>
      <c r="I24" s="497">
        <f>H24+I23</f>
        <v>0</v>
      </c>
      <c r="J24" s="497">
        <f>I24+J23</f>
        <v>-0.01</v>
      </c>
      <c r="K24" s="996" t="b">
        <f>J24=F23</f>
        <v>0</v>
      </c>
      <c r="L24" s="997"/>
      <c r="M24" s="490"/>
    </row>
    <row r="25" spans="1:12" s="69" customFormat="1" ht="24.75" customHeight="1" thickTop="1">
      <c r="A25" s="528" t="s">
        <v>60</v>
      </c>
      <c r="B25" s="532"/>
      <c r="C25" s="530"/>
      <c r="D25" s="531"/>
      <c r="E25" s="998" t="e">
        <f>ROUND(SUM(E11:E22),2)</f>
        <v>#DIV/0!</v>
      </c>
      <c r="F25" s="1000"/>
      <c r="G25" s="533" t="e">
        <f>G23/$F$23</f>
        <v>#DIV/0!</v>
      </c>
      <c r="H25" s="534" t="e">
        <f>H23/$F$23</f>
        <v>#DIV/0!</v>
      </c>
      <c r="I25" s="534" t="e">
        <f>I23/$F$23</f>
        <v>#DIV/0!</v>
      </c>
      <c r="J25" s="534" t="e">
        <f>J23/$F$23</f>
        <v>#DIV/0!</v>
      </c>
      <c r="K25" s="73"/>
      <c r="L25" s="74"/>
    </row>
    <row r="26" spans="1:12" s="81" customFormat="1" ht="24.75" customHeight="1" thickBot="1">
      <c r="A26" s="75" t="s">
        <v>61</v>
      </c>
      <c r="B26" s="76"/>
      <c r="C26" s="76"/>
      <c r="D26" s="77"/>
      <c r="E26" s="999"/>
      <c r="F26" s="1001"/>
      <c r="G26" s="78" t="e">
        <f>G25</f>
        <v>#DIV/0!</v>
      </c>
      <c r="H26" s="79" t="e">
        <f>G26+H25</f>
        <v>#DIV/0!</v>
      </c>
      <c r="I26" s="79" t="e">
        <f>H26+I25</f>
        <v>#DIV/0!</v>
      </c>
      <c r="J26" s="79" t="e">
        <f>I26+J25</f>
        <v>#DIV/0!</v>
      </c>
      <c r="K26" s="80"/>
      <c r="L26" s="74"/>
    </row>
    <row r="27" spans="2:11" ht="60.75" customHeight="1">
      <c r="B27" s="101"/>
      <c r="C27" s="101"/>
      <c r="D27" s="101"/>
      <c r="E27" s="102"/>
      <c r="F27" s="491"/>
      <c r="G27" s="491"/>
      <c r="H27" s="491"/>
      <c r="I27" s="102"/>
      <c r="J27" s="102"/>
      <c r="K27" s="82"/>
    </row>
    <row r="28" spans="2:11" ht="16.5" customHeight="1">
      <c r="B28" s="103"/>
      <c r="C28" s="103"/>
      <c r="D28" s="103"/>
      <c r="F28" s="1002" t="s">
        <v>47</v>
      </c>
      <c r="G28" s="1002"/>
      <c r="H28" s="1002"/>
      <c r="K28" s="43"/>
    </row>
    <row r="29" spans="2:11" ht="16.5" customHeight="1">
      <c r="B29" s="103"/>
      <c r="C29" s="103"/>
      <c r="D29" s="103"/>
      <c r="F29" s="1003">
        <f>'ORÇAMENTO RESUMIDO'!C28</f>
        <v>0</v>
      </c>
      <c r="G29" s="1003"/>
      <c r="H29" s="1003"/>
      <c r="K29" s="43"/>
    </row>
    <row r="30" spans="2:11" ht="16.5" customHeight="1">
      <c r="B30" s="103"/>
      <c r="C30" s="103"/>
      <c r="D30" s="103"/>
      <c r="F30" s="1003">
        <f>'ORÇAMENTO RESUMIDO'!C29</f>
        <v>0</v>
      </c>
      <c r="G30" s="1003"/>
      <c r="H30" s="1003"/>
      <c r="K30" s="43"/>
    </row>
    <row r="31" ht="12.75" customHeight="1">
      <c r="F31" s="37"/>
    </row>
    <row r="32" ht="12.75">
      <c r="F32" s="544">
        <f>'ORÇAMENTO RESUMIDO'!E20</f>
        <v>0</v>
      </c>
    </row>
    <row r="33" spans="5:6" ht="23.25">
      <c r="E33" s="1005" t="b">
        <f>F23=F32</f>
        <v>1</v>
      </c>
      <c r="F33" s="1005"/>
    </row>
    <row r="34" spans="5:6" ht="23.25">
      <c r="E34" s="1004"/>
      <c r="F34" s="1004"/>
    </row>
    <row r="35" spans="5:6" ht="23.25">
      <c r="E35" s="1004"/>
      <c r="F35" s="1004"/>
    </row>
    <row r="36" spans="5:6" ht="23.25">
      <c r="E36" s="1004"/>
      <c r="F36" s="1004"/>
    </row>
    <row r="37" spans="5:6" ht="23.25">
      <c r="E37" s="1004"/>
      <c r="F37" s="1004"/>
    </row>
    <row r="38" spans="5:6" ht="23.25">
      <c r="E38" s="1004"/>
      <c r="F38" s="1004"/>
    </row>
    <row r="39" spans="5:6" ht="23.25">
      <c r="E39" s="1004"/>
      <c r="F39" s="1004"/>
    </row>
  </sheetData>
  <sheetProtection/>
  <mergeCells count="45">
    <mergeCell ref="E39:F39"/>
    <mergeCell ref="E33:F33"/>
    <mergeCell ref="E34:F34"/>
    <mergeCell ref="E35:F35"/>
    <mergeCell ref="E36:F36"/>
    <mergeCell ref="E37:F37"/>
    <mergeCell ref="E38:F38"/>
    <mergeCell ref="K24:L24"/>
    <mergeCell ref="E25:E26"/>
    <mergeCell ref="F25:F26"/>
    <mergeCell ref="F28:H28"/>
    <mergeCell ref="F29:H29"/>
    <mergeCell ref="F30:H30"/>
    <mergeCell ref="A21:A22"/>
    <mergeCell ref="B21:D22"/>
    <mergeCell ref="E21:E22"/>
    <mergeCell ref="F21:F22"/>
    <mergeCell ref="E23:E24"/>
    <mergeCell ref="F23:F24"/>
    <mergeCell ref="A17:A18"/>
    <mergeCell ref="B17:D18"/>
    <mergeCell ref="E17:E18"/>
    <mergeCell ref="F17:F18"/>
    <mergeCell ref="A19:A20"/>
    <mergeCell ref="B19:D20"/>
    <mergeCell ref="E19:E20"/>
    <mergeCell ref="F19:F20"/>
    <mergeCell ref="A15:A16"/>
    <mergeCell ref="B15:D16"/>
    <mergeCell ref="E15:E16"/>
    <mergeCell ref="F15:F16"/>
    <mergeCell ref="A11:A12"/>
    <mergeCell ref="B11:D12"/>
    <mergeCell ref="E11:E12"/>
    <mergeCell ref="F11:F12"/>
    <mergeCell ref="A13:A14"/>
    <mergeCell ref="B13:D14"/>
    <mergeCell ref="G9:J9"/>
    <mergeCell ref="E13:E14"/>
    <mergeCell ref="F13:F14"/>
    <mergeCell ref="A8:J8"/>
    <mergeCell ref="A9:A10"/>
    <mergeCell ref="B9:D10"/>
    <mergeCell ref="E9:E10"/>
    <mergeCell ref="F9:F10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39"/>
  <sheetViews>
    <sheetView view="pageBreakPreview" zoomScale="85" zoomScaleSheetLayoutView="85" zoomScalePageLayoutView="0" workbookViewId="0" topLeftCell="A1">
      <selection activeCell="O1" sqref="O1:P16384"/>
    </sheetView>
  </sheetViews>
  <sheetFormatPr defaultColWidth="14.8515625" defaultRowHeight="12.75"/>
  <cols>
    <col min="1" max="1" width="6.7109375" style="47" customWidth="1"/>
    <col min="2" max="2" width="13.00390625" style="47" customWidth="1"/>
    <col min="3" max="3" width="26.421875" style="47" customWidth="1"/>
    <col min="4" max="4" width="4.140625" style="47" bestFit="1" customWidth="1"/>
    <col min="5" max="5" width="9.421875" style="49" customWidth="1"/>
    <col min="6" max="6" width="16.7109375" style="50" customWidth="1"/>
    <col min="7" max="7" width="13.28125" style="49" customWidth="1"/>
    <col min="8" max="12" width="14.57421875" style="49" customWidth="1"/>
    <col min="13" max="13" width="13.140625" style="49" customWidth="1"/>
    <col min="14" max="14" width="14.7109375" style="49" bestFit="1" customWidth="1"/>
    <col min="15" max="15" width="13.8515625" style="759" hidden="1" customWidth="1"/>
    <col min="16" max="16" width="23.28125" style="52" hidden="1" customWidth="1"/>
    <col min="17" max="17" width="19.7109375" style="47" bestFit="1" customWidth="1"/>
    <col min="18" max="16384" width="14.8515625" style="47" customWidth="1"/>
  </cols>
  <sheetData>
    <row r="1" spans="1:15" ht="55.5" customHeight="1">
      <c r="A1" s="907"/>
      <c r="B1" s="908" t="s">
        <v>54</v>
      </c>
      <c r="C1" s="908"/>
      <c r="D1" s="907"/>
      <c r="E1" s="909"/>
      <c r="F1" s="910"/>
      <c r="G1" s="909"/>
      <c r="H1" s="909"/>
      <c r="I1" s="909"/>
      <c r="J1" s="909"/>
      <c r="K1" s="909"/>
      <c r="L1" s="911"/>
      <c r="M1" s="911"/>
      <c r="N1" s="911"/>
      <c r="O1" s="756"/>
    </row>
    <row r="2" spans="1:15" ht="8.25" customHeight="1">
      <c r="A2" s="133"/>
      <c r="B2" s="493"/>
      <c r="C2" s="493"/>
      <c r="D2" s="133"/>
      <c r="E2" s="494"/>
      <c r="F2" s="495"/>
      <c r="G2" s="494"/>
      <c r="H2" s="494"/>
      <c r="I2" s="494"/>
      <c r="J2" s="494"/>
      <c r="K2" s="494"/>
      <c r="L2" s="838"/>
      <c r="M2" s="838"/>
      <c r="N2" s="838"/>
      <c r="O2" s="756"/>
    </row>
    <row r="3" spans="1:16" s="724" customFormat="1" ht="23.25" customHeight="1">
      <c r="A3" s="722"/>
      <c r="B3" s="106" t="s">
        <v>14</v>
      </c>
      <c r="C3" s="56" t="str">
        <f>DADOS!B2</f>
        <v>BASE PARA LOTES URBANIZADOS - RADIER</v>
      </c>
      <c r="D3" s="722"/>
      <c r="E3" s="89"/>
      <c r="F3" s="59"/>
      <c r="G3" s="60"/>
      <c r="H3" s="60"/>
      <c r="I3" s="60"/>
      <c r="J3" s="60"/>
      <c r="K3" s="60"/>
      <c r="L3" s="766"/>
      <c r="M3" s="766"/>
      <c r="N3" s="766"/>
      <c r="O3" s="765"/>
      <c r="P3" s="723"/>
    </row>
    <row r="4" spans="1:16" s="724" customFormat="1" ht="23.25" customHeight="1">
      <c r="A4" s="722"/>
      <c r="B4" s="106" t="s">
        <v>224</v>
      </c>
      <c r="C4" s="56" t="str">
        <f>DADOS!B3</f>
        <v>LOTEAMENTO JARDIM DOS ESTADOS</v>
      </c>
      <c r="D4" s="722"/>
      <c r="E4" s="89"/>
      <c r="F4" s="59"/>
      <c r="G4" s="60"/>
      <c r="H4" s="60"/>
      <c r="I4" s="60"/>
      <c r="J4" s="60"/>
      <c r="K4" s="60"/>
      <c r="L4" s="839"/>
      <c r="M4" s="839"/>
      <c r="N4" s="839"/>
      <c r="O4" s="765"/>
      <c r="P4" s="723"/>
    </row>
    <row r="5" spans="1:16" s="724" customFormat="1" ht="23.25" customHeight="1">
      <c r="A5" s="722"/>
      <c r="B5" s="106" t="s">
        <v>13</v>
      </c>
      <c r="C5" s="56" t="str">
        <f>DADOS!B4</f>
        <v>RIBAS DO RIO PARDO/MS</v>
      </c>
      <c r="D5" s="722"/>
      <c r="E5" s="722"/>
      <c r="F5" s="725"/>
      <c r="G5" s="722"/>
      <c r="H5" s="722"/>
      <c r="I5" s="722"/>
      <c r="J5" s="722"/>
      <c r="K5" s="722"/>
      <c r="L5" s="837"/>
      <c r="M5" s="837"/>
      <c r="N5" s="837"/>
      <c r="O5" s="765"/>
      <c r="P5" s="723"/>
    </row>
    <row r="6" spans="1:16" s="724" customFormat="1" ht="23.25" customHeight="1">
      <c r="A6" s="722"/>
      <c r="B6" s="106" t="s">
        <v>63</v>
      </c>
      <c r="C6" s="549">
        <f>DADOS!B5</f>
        <v>70</v>
      </c>
      <c r="D6" s="492" t="s">
        <v>17</v>
      </c>
      <c r="E6" s="722"/>
      <c r="F6" s="725"/>
      <c r="G6" s="722"/>
      <c r="H6" s="722"/>
      <c r="I6" s="722"/>
      <c r="J6" s="722"/>
      <c r="K6" s="722"/>
      <c r="L6" s="837"/>
      <c r="M6" s="837"/>
      <c r="N6" s="837"/>
      <c r="O6" s="765"/>
      <c r="P6" s="723"/>
    </row>
    <row r="7" spans="1:16" s="724" customFormat="1" ht="6" customHeight="1">
      <c r="A7" s="722"/>
      <c r="B7" s="106"/>
      <c r="C7" s="492"/>
      <c r="D7" s="492"/>
      <c r="E7" s="722"/>
      <c r="F7" s="725"/>
      <c r="G7" s="722"/>
      <c r="H7" s="722"/>
      <c r="I7" s="722"/>
      <c r="J7" s="722"/>
      <c r="K7" s="722"/>
      <c r="L7" s="837"/>
      <c r="M7" s="837"/>
      <c r="N7" s="837"/>
      <c r="O7" s="765"/>
      <c r="P7" s="723"/>
    </row>
    <row r="8" spans="1:16" s="724" customFormat="1" ht="30" customHeight="1" thickBot="1">
      <c r="A8" s="1008" t="s">
        <v>223</v>
      </c>
      <c r="B8" s="1008"/>
      <c r="C8" s="1008"/>
      <c r="D8" s="1008"/>
      <c r="E8" s="1008"/>
      <c r="F8" s="1008"/>
      <c r="G8" s="963"/>
      <c r="H8" s="963"/>
      <c r="I8" s="963"/>
      <c r="J8" s="963"/>
      <c r="K8" s="963"/>
      <c r="L8" s="963"/>
      <c r="M8" s="836"/>
      <c r="N8" s="836"/>
      <c r="O8" s="765"/>
      <c r="P8" s="723"/>
    </row>
    <row r="9" spans="1:16" ht="19.5" customHeight="1">
      <c r="A9" s="964" t="s">
        <v>16</v>
      </c>
      <c r="B9" s="966" t="s">
        <v>56</v>
      </c>
      <c r="C9" s="967"/>
      <c r="D9" s="968"/>
      <c r="E9" s="972" t="s">
        <v>46</v>
      </c>
      <c r="F9" s="1009" t="s">
        <v>57</v>
      </c>
      <c r="G9" s="1006" t="s">
        <v>443</v>
      </c>
      <c r="H9" s="959"/>
      <c r="I9" s="959"/>
      <c r="J9" s="959"/>
      <c r="K9" s="959"/>
      <c r="L9" s="959"/>
      <c r="M9" s="959"/>
      <c r="N9" s="1007"/>
      <c r="P9" s="757"/>
    </row>
    <row r="10" spans="1:16" ht="19.5" customHeight="1" thickBot="1">
      <c r="A10" s="965"/>
      <c r="B10" s="969"/>
      <c r="C10" s="970"/>
      <c r="D10" s="971"/>
      <c r="E10" s="973"/>
      <c r="F10" s="975"/>
      <c r="G10" s="848" t="s">
        <v>305</v>
      </c>
      <c r="H10" s="849" t="s">
        <v>306</v>
      </c>
      <c r="I10" s="850" t="s">
        <v>307</v>
      </c>
      <c r="J10" s="849" t="s">
        <v>308</v>
      </c>
      <c r="K10" s="849" t="s">
        <v>309</v>
      </c>
      <c r="L10" s="852" t="s">
        <v>310</v>
      </c>
      <c r="M10" s="844" t="s">
        <v>441</v>
      </c>
      <c r="N10" s="851" t="s">
        <v>442</v>
      </c>
      <c r="P10" s="757"/>
    </row>
    <row r="11" spans="1:16" ht="19.5" customHeight="1" thickTop="1">
      <c r="A11" s="983">
        <v>1</v>
      </c>
      <c r="B11" s="984" t="s">
        <v>235</v>
      </c>
      <c r="C11" s="985"/>
      <c r="D11" s="986"/>
      <c r="E11" s="1010" t="e">
        <f>F11/$F$23</f>
        <v>#DIV/0!</v>
      </c>
      <c r="F11" s="982">
        <f>'ORÇAMENTO RESUMIDO'!E14</f>
        <v>0</v>
      </c>
      <c r="G11" s="726">
        <v>0.55</v>
      </c>
      <c r="H11" s="727">
        <v>0.05</v>
      </c>
      <c r="I11" s="728">
        <v>0.05</v>
      </c>
      <c r="J11" s="728">
        <v>0.05</v>
      </c>
      <c r="K11" s="728">
        <v>0.05</v>
      </c>
      <c r="L11" s="842">
        <v>0.05</v>
      </c>
      <c r="M11" s="728">
        <v>0.05</v>
      </c>
      <c r="N11" s="857">
        <v>0.15</v>
      </c>
      <c r="O11" s="760"/>
      <c r="P11" s="757"/>
    </row>
    <row r="12" spans="1:16" ht="19.5" customHeight="1">
      <c r="A12" s="977"/>
      <c r="B12" s="978"/>
      <c r="C12" s="979"/>
      <c r="D12" s="980"/>
      <c r="E12" s="1011"/>
      <c r="F12" s="962"/>
      <c r="G12" s="729">
        <f aca="true" t="shared" si="0" ref="G12:M12">ROUND($F$11*G11,2)</f>
        <v>0</v>
      </c>
      <c r="H12" s="730">
        <f t="shared" si="0"/>
        <v>0</v>
      </c>
      <c r="I12" s="542">
        <f t="shared" si="0"/>
        <v>0</v>
      </c>
      <c r="J12" s="542">
        <f t="shared" si="0"/>
        <v>0</v>
      </c>
      <c r="K12" s="542">
        <f t="shared" si="0"/>
        <v>0</v>
      </c>
      <c r="L12" s="498">
        <f t="shared" si="0"/>
        <v>0</v>
      </c>
      <c r="M12" s="498">
        <f t="shared" si="0"/>
        <v>0</v>
      </c>
      <c r="N12" s="853">
        <f>ROUND($F$11*N11,2)</f>
        <v>0</v>
      </c>
      <c r="O12" s="761">
        <f>ROUND(G12+H12+I12+J12+K12+L12+M12+N12,2)-0.01</f>
        <v>-0.01</v>
      </c>
      <c r="P12" s="803" t="b">
        <f>O12=F11</f>
        <v>0</v>
      </c>
    </row>
    <row r="13" spans="1:16" ht="19.5" customHeight="1">
      <c r="A13" s="976">
        <v>2</v>
      </c>
      <c r="B13" s="978" t="s">
        <v>66</v>
      </c>
      <c r="C13" s="979"/>
      <c r="D13" s="980"/>
      <c r="E13" s="1010" t="e">
        <f>F13/$F$23</f>
        <v>#DIV/0!</v>
      </c>
      <c r="F13" s="962">
        <f>'ORÇAMENTO RESUMIDO'!E15</f>
        <v>0</v>
      </c>
      <c r="G13" s="731"/>
      <c r="H13" s="728">
        <v>0.3</v>
      </c>
      <c r="I13" s="728">
        <v>0.25</v>
      </c>
      <c r="J13" s="728">
        <v>0.2</v>
      </c>
      <c r="K13" s="728">
        <v>0.1</v>
      </c>
      <c r="L13" s="728">
        <v>0.1</v>
      </c>
      <c r="M13" s="728">
        <v>0.05</v>
      </c>
      <c r="N13" s="855"/>
      <c r="O13" s="761"/>
      <c r="P13" s="804"/>
    </row>
    <row r="14" spans="1:16" ht="19.5" customHeight="1">
      <c r="A14" s="977"/>
      <c r="B14" s="978"/>
      <c r="C14" s="979"/>
      <c r="D14" s="980"/>
      <c r="E14" s="1011"/>
      <c r="F14" s="962"/>
      <c r="G14" s="535"/>
      <c r="H14" s="542">
        <f aca="true" t="shared" si="1" ref="H14:M14">ROUND($F$13*H13,2)</f>
        <v>0</v>
      </c>
      <c r="I14" s="542">
        <f t="shared" si="1"/>
        <v>0</v>
      </c>
      <c r="J14" s="542">
        <f t="shared" si="1"/>
        <v>0</v>
      </c>
      <c r="K14" s="542">
        <f t="shared" si="1"/>
        <v>0</v>
      </c>
      <c r="L14" s="542">
        <f t="shared" si="1"/>
        <v>0</v>
      </c>
      <c r="M14" s="542">
        <f t="shared" si="1"/>
        <v>0</v>
      </c>
      <c r="N14" s="856"/>
      <c r="O14" s="761">
        <f>ROUND(H14+I14+J14+K14+L14+M14,2)</f>
        <v>0</v>
      </c>
      <c r="P14" s="803" t="b">
        <f>F13=O14</f>
        <v>1</v>
      </c>
    </row>
    <row r="15" spans="1:16" ht="19.5" customHeight="1">
      <c r="A15" s="976">
        <v>3</v>
      </c>
      <c r="B15" s="978" t="s">
        <v>7</v>
      </c>
      <c r="C15" s="979"/>
      <c r="D15" s="980"/>
      <c r="E15" s="1010" t="e">
        <f>F15/$F$23</f>
        <v>#DIV/0!</v>
      </c>
      <c r="F15" s="981">
        <f>'ORÇAMENTO RESUMIDO'!E16</f>
        <v>0</v>
      </c>
      <c r="G15" s="731"/>
      <c r="H15" s="733"/>
      <c r="I15" s="734"/>
      <c r="J15" s="734">
        <v>0.65</v>
      </c>
      <c r="K15" s="734">
        <v>0.2</v>
      </c>
      <c r="L15" s="755">
        <v>0.05</v>
      </c>
      <c r="M15" s="755">
        <v>0.05</v>
      </c>
      <c r="N15" s="855">
        <v>0.05</v>
      </c>
      <c r="O15" s="761"/>
      <c r="P15" s="804"/>
    </row>
    <row r="16" spans="1:16" ht="19.5" customHeight="1">
      <c r="A16" s="977"/>
      <c r="B16" s="978"/>
      <c r="C16" s="979"/>
      <c r="D16" s="980"/>
      <c r="E16" s="1011"/>
      <c r="F16" s="982"/>
      <c r="G16" s="535"/>
      <c r="H16" s="735"/>
      <c r="I16" s="62"/>
      <c r="J16" s="498">
        <f>ROUND($F$15*J15,2)</f>
        <v>0</v>
      </c>
      <c r="K16" s="498">
        <f>ROUND($F$15*K15,2)</f>
        <v>0</v>
      </c>
      <c r="L16" s="843">
        <f>ROUND($F$15*L15,2)</f>
        <v>0</v>
      </c>
      <c r="M16" s="843">
        <f>ROUND($F$15*M15,2)</f>
        <v>0</v>
      </c>
      <c r="N16" s="858">
        <f>ROUND($F$15*N15,2)</f>
        <v>0</v>
      </c>
      <c r="O16" s="761">
        <f>ROUND(J16+K16+L16+M16+N16,2)</f>
        <v>0</v>
      </c>
      <c r="P16" s="803" t="b">
        <f>F15=O16</f>
        <v>1</v>
      </c>
    </row>
    <row r="17" spans="1:16" ht="19.5" customHeight="1">
      <c r="A17" s="976">
        <v>4</v>
      </c>
      <c r="B17" s="978" t="s">
        <v>8</v>
      </c>
      <c r="C17" s="979"/>
      <c r="D17" s="980"/>
      <c r="E17" s="1010" t="e">
        <f>F17/$F$23</f>
        <v>#DIV/0!</v>
      </c>
      <c r="F17" s="981">
        <f>'ORÇAMENTO RESUMIDO'!E17</f>
        <v>0</v>
      </c>
      <c r="G17" s="731">
        <v>0.05</v>
      </c>
      <c r="H17" s="733">
        <v>0.05</v>
      </c>
      <c r="I17" s="736">
        <v>0.1</v>
      </c>
      <c r="J17" s="736">
        <v>0.15</v>
      </c>
      <c r="K17" s="840">
        <v>0.2</v>
      </c>
      <c r="L17" s="840">
        <v>0.45</v>
      </c>
      <c r="M17" s="732"/>
      <c r="N17" s="855"/>
      <c r="O17" s="761"/>
      <c r="P17" s="804"/>
    </row>
    <row r="18" spans="1:16" ht="19.5" customHeight="1">
      <c r="A18" s="977"/>
      <c r="B18" s="978"/>
      <c r="C18" s="979"/>
      <c r="D18" s="980"/>
      <c r="E18" s="1011"/>
      <c r="F18" s="982"/>
      <c r="G18" s="498">
        <f aca="true" t="shared" si="2" ref="G18:L18">ROUND($F$17*G17,2)</f>
        <v>0</v>
      </c>
      <c r="H18" s="498">
        <f t="shared" si="2"/>
        <v>0</v>
      </c>
      <c r="I18" s="498">
        <f t="shared" si="2"/>
        <v>0</v>
      </c>
      <c r="J18" s="498">
        <f t="shared" si="2"/>
        <v>0</v>
      </c>
      <c r="K18" s="498">
        <f t="shared" si="2"/>
        <v>0</v>
      </c>
      <c r="L18" s="498">
        <f t="shared" si="2"/>
        <v>0</v>
      </c>
      <c r="M18" s="735"/>
      <c r="N18" s="859"/>
      <c r="O18" s="761">
        <f>ROUND(G18+H18+I18+J18+K18+L18,2)</f>
        <v>0</v>
      </c>
      <c r="P18" s="803" t="b">
        <f>F17=O18</f>
        <v>1</v>
      </c>
    </row>
    <row r="19" spans="1:16" ht="19.5" customHeight="1">
      <c r="A19" s="976">
        <v>5</v>
      </c>
      <c r="B19" s="978" t="s">
        <v>9</v>
      </c>
      <c r="C19" s="979"/>
      <c r="D19" s="980"/>
      <c r="E19" s="1010" t="e">
        <f>F19/$F$23</f>
        <v>#DIV/0!</v>
      </c>
      <c r="F19" s="981">
        <f>'ORÇAMENTO RESUMIDO'!E18</f>
        <v>0</v>
      </c>
      <c r="G19" s="731">
        <v>0.15</v>
      </c>
      <c r="H19" s="733">
        <v>0.1</v>
      </c>
      <c r="I19" s="728">
        <v>0.1</v>
      </c>
      <c r="J19" s="728">
        <v>0.1</v>
      </c>
      <c r="K19" s="728">
        <v>0.1</v>
      </c>
      <c r="L19" s="728">
        <v>0.1</v>
      </c>
      <c r="M19" s="736">
        <v>0.15</v>
      </c>
      <c r="N19" s="854">
        <v>0.2</v>
      </c>
      <c r="O19" s="761"/>
      <c r="P19" s="804"/>
    </row>
    <row r="20" spans="1:16" ht="19.5" customHeight="1">
      <c r="A20" s="977"/>
      <c r="B20" s="978"/>
      <c r="C20" s="979"/>
      <c r="D20" s="980"/>
      <c r="E20" s="1011"/>
      <c r="F20" s="982"/>
      <c r="G20" s="498">
        <f aca="true" t="shared" si="3" ref="G20:M20">ROUND($F$19*G19,2)</f>
        <v>0</v>
      </c>
      <c r="H20" s="498">
        <f t="shared" si="3"/>
        <v>0</v>
      </c>
      <c r="I20" s="498">
        <f t="shared" si="3"/>
        <v>0</v>
      </c>
      <c r="J20" s="498">
        <f t="shared" si="3"/>
        <v>0</v>
      </c>
      <c r="K20" s="498">
        <f t="shared" si="3"/>
        <v>0</v>
      </c>
      <c r="L20" s="841">
        <f t="shared" si="3"/>
        <v>0</v>
      </c>
      <c r="M20" s="841">
        <f t="shared" si="3"/>
        <v>0</v>
      </c>
      <c r="N20" s="853">
        <f>ROUND($F$19*N19,2)</f>
        <v>0</v>
      </c>
      <c r="O20" s="761">
        <f>ROUND(G20+H20+I20+J20+K20+L20+M20+N20,2)</f>
        <v>0</v>
      </c>
      <c r="P20" s="803" t="b">
        <f>F19=O20</f>
        <v>1</v>
      </c>
    </row>
    <row r="21" spans="1:16" ht="19.5" customHeight="1">
      <c r="A21" s="976">
        <v>6</v>
      </c>
      <c r="B21" s="978" t="s">
        <v>10</v>
      </c>
      <c r="C21" s="979"/>
      <c r="D21" s="980"/>
      <c r="E21" s="1012" t="e">
        <f>F21/$F$23</f>
        <v>#DIV/0!</v>
      </c>
      <c r="F21" s="962">
        <f>'ORÇAMENTO RESUMIDO'!E19</f>
        <v>0</v>
      </c>
      <c r="G21" s="731"/>
      <c r="H21" s="737"/>
      <c r="I21" s="732"/>
      <c r="J21" s="732"/>
      <c r="K21" s="732"/>
      <c r="L21" s="732"/>
      <c r="M21" s="732"/>
      <c r="N21" s="860">
        <v>1</v>
      </c>
      <c r="O21" s="761"/>
      <c r="P21" s="803"/>
    </row>
    <row r="22" spans="1:16" ht="19.5" customHeight="1" thickBot="1">
      <c r="A22" s="977"/>
      <c r="B22" s="987"/>
      <c r="C22" s="988"/>
      <c r="D22" s="989"/>
      <c r="E22" s="1013"/>
      <c r="F22" s="962"/>
      <c r="G22" s="65"/>
      <c r="H22" s="738"/>
      <c r="I22" s="66"/>
      <c r="J22" s="66"/>
      <c r="K22" s="66"/>
      <c r="L22" s="66"/>
      <c r="M22" s="66"/>
      <c r="N22" s="853">
        <f>ROUND($F$21*N21,2)</f>
        <v>0</v>
      </c>
      <c r="O22" s="761">
        <f>ROUND(N22,2)</f>
        <v>0</v>
      </c>
      <c r="P22" s="803" t="b">
        <f>F21=O22</f>
        <v>1</v>
      </c>
    </row>
    <row r="23" spans="1:16" s="69" customFormat="1" ht="24.75" customHeight="1" thickTop="1">
      <c r="A23" s="528" t="s">
        <v>58</v>
      </c>
      <c r="B23" s="529"/>
      <c r="C23" s="530"/>
      <c r="D23" s="531"/>
      <c r="E23" s="992"/>
      <c r="F23" s="994">
        <f>SUM(F11:F22)</f>
        <v>0</v>
      </c>
      <c r="G23" s="546">
        <f>G12+G18+G20</f>
        <v>0</v>
      </c>
      <c r="H23" s="548">
        <f>H12+H14+H18+H20</f>
        <v>0</v>
      </c>
      <c r="I23" s="547">
        <f>I12+I14+I18+I20</f>
        <v>0</v>
      </c>
      <c r="J23" s="547">
        <f>J12+J14+J16+J18+J20</f>
        <v>0</v>
      </c>
      <c r="K23" s="548">
        <f>K12+K14+K16+K18+K20</f>
        <v>0</v>
      </c>
      <c r="L23" s="845">
        <f>L12+L14+L16+L18+L20</f>
        <v>0</v>
      </c>
      <c r="M23" s="845">
        <f>M12+M14+M16+M20</f>
        <v>0</v>
      </c>
      <c r="N23" s="861">
        <f>N12+N16+N20+N22</f>
        <v>0</v>
      </c>
      <c r="O23" s="762"/>
      <c r="P23" s="805"/>
    </row>
    <row r="24" spans="1:17" s="69" customFormat="1" ht="24.75" customHeight="1" thickBot="1">
      <c r="A24" s="70" t="s">
        <v>59</v>
      </c>
      <c r="B24" s="71"/>
      <c r="C24" s="71"/>
      <c r="D24" s="72"/>
      <c r="E24" s="993"/>
      <c r="F24" s="995"/>
      <c r="G24" s="496">
        <f>G23</f>
        <v>0</v>
      </c>
      <c r="H24" s="497">
        <f aca="true" t="shared" si="4" ref="H24:N24">G24+H23</f>
        <v>0</v>
      </c>
      <c r="I24" s="497">
        <f t="shared" si="4"/>
        <v>0</v>
      </c>
      <c r="J24" s="497">
        <f t="shared" si="4"/>
        <v>0</v>
      </c>
      <c r="K24" s="497">
        <f t="shared" si="4"/>
        <v>0</v>
      </c>
      <c r="L24" s="846">
        <f t="shared" si="4"/>
        <v>0</v>
      </c>
      <c r="M24" s="846">
        <f t="shared" si="4"/>
        <v>0</v>
      </c>
      <c r="N24" s="862">
        <f t="shared" si="4"/>
        <v>0</v>
      </c>
      <c r="O24" s="1014" t="b">
        <f>F23=N24</f>
        <v>1</v>
      </c>
      <c r="P24" s="1015"/>
      <c r="Q24" s="490"/>
    </row>
    <row r="25" spans="1:16" s="69" customFormat="1" ht="24.75" customHeight="1" thickTop="1">
      <c r="A25" s="528" t="s">
        <v>60</v>
      </c>
      <c r="B25" s="532"/>
      <c r="C25" s="530"/>
      <c r="D25" s="531"/>
      <c r="E25" s="1016" t="e">
        <f>ROUND(SUM(E11:E22),2)</f>
        <v>#DIV/0!</v>
      </c>
      <c r="F25" s="1000"/>
      <c r="G25" s="533" t="e">
        <f aca="true" t="shared" si="5" ref="G25:N25">G23/$F$23</f>
        <v>#DIV/0!</v>
      </c>
      <c r="H25" s="534" t="e">
        <f t="shared" si="5"/>
        <v>#DIV/0!</v>
      </c>
      <c r="I25" s="534" t="e">
        <f t="shared" si="5"/>
        <v>#DIV/0!</v>
      </c>
      <c r="J25" s="534" t="e">
        <f t="shared" si="5"/>
        <v>#DIV/0!</v>
      </c>
      <c r="K25" s="534" t="e">
        <f t="shared" si="5"/>
        <v>#DIV/0!</v>
      </c>
      <c r="L25" s="534" t="e">
        <f t="shared" si="5"/>
        <v>#DIV/0!</v>
      </c>
      <c r="M25" s="534" t="e">
        <f t="shared" si="5"/>
        <v>#DIV/0!</v>
      </c>
      <c r="N25" s="863" t="e">
        <f t="shared" si="5"/>
        <v>#DIV/0!</v>
      </c>
      <c r="O25" s="763"/>
      <c r="P25" s="758"/>
    </row>
    <row r="26" spans="1:16" s="81" customFormat="1" ht="24.75" customHeight="1" thickBot="1">
      <c r="A26" s="75" t="s">
        <v>61</v>
      </c>
      <c r="B26" s="76"/>
      <c r="C26" s="76"/>
      <c r="D26" s="77"/>
      <c r="E26" s="1017"/>
      <c r="F26" s="1001"/>
      <c r="G26" s="78" t="e">
        <f>G25</f>
        <v>#DIV/0!</v>
      </c>
      <c r="H26" s="79" t="e">
        <f aca="true" t="shared" si="6" ref="H26:N26">G26+H25</f>
        <v>#DIV/0!</v>
      </c>
      <c r="I26" s="79" t="e">
        <f t="shared" si="6"/>
        <v>#DIV/0!</v>
      </c>
      <c r="J26" s="79" t="e">
        <f t="shared" si="6"/>
        <v>#DIV/0!</v>
      </c>
      <c r="K26" s="79" t="e">
        <f t="shared" si="6"/>
        <v>#DIV/0!</v>
      </c>
      <c r="L26" s="847" t="e">
        <f t="shared" si="6"/>
        <v>#DIV/0!</v>
      </c>
      <c r="M26" s="847" t="e">
        <f t="shared" si="6"/>
        <v>#DIV/0!</v>
      </c>
      <c r="N26" s="864" t="e">
        <f t="shared" si="6"/>
        <v>#DIV/0!</v>
      </c>
      <c r="O26" s="764"/>
      <c r="P26" s="758" t="b">
        <f>F23=N24</f>
        <v>1</v>
      </c>
    </row>
    <row r="27" spans="1:15" ht="60.75" customHeight="1">
      <c r="A27" s="907"/>
      <c r="B27" s="912"/>
      <c r="C27" s="912"/>
      <c r="D27" s="912"/>
      <c r="E27" s="913"/>
      <c r="F27" s="913"/>
      <c r="G27" s="913"/>
      <c r="H27" s="913"/>
      <c r="I27" s="913"/>
      <c r="J27" s="913"/>
      <c r="K27" s="913"/>
      <c r="L27" s="914"/>
      <c r="M27" s="911"/>
      <c r="N27" s="911"/>
      <c r="O27" s="767"/>
    </row>
    <row r="28" spans="1:15" ht="12" customHeight="1">
      <c r="A28" s="907"/>
      <c r="B28" s="915"/>
      <c r="C28" s="915"/>
      <c r="D28" s="915"/>
      <c r="E28" s="909"/>
      <c r="F28" s="1018"/>
      <c r="G28" s="1018"/>
      <c r="H28" s="1018"/>
      <c r="I28" s="1018"/>
      <c r="J28" s="1018"/>
      <c r="K28" s="1018"/>
      <c r="L28" s="911"/>
      <c r="M28" s="911"/>
      <c r="N28" s="911"/>
      <c r="O28" s="768"/>
    </row>
    <row r="29" spans="1:17" s="52" customFormat="1" ht="12" customHeight="1">
      <c r="A29" s="907"/>
      <c r="B29" s="915"/>
      <c r="C29" s="915"/>
      <c r="D29" s="915"/>
      <c r="E29" s="909"/>
      <c r="F29" s="1019"/>
      <c r="G29" s="1019"/>
      <c r="H29" s="1019"/>
      <c r="I29" s="1019"/>
      <c r="J29" s="1019"/>
      <c r="K29" s="1019"/>
      <c r="L29" s="911"/>
      <c r="M29" s="911"/>
      <c r="N29" s="911"/>
      <c r="O29" s="768"/>
      <c r="Q29" s="47"/>
    </row>
    <row r="30" spans="1:17" s="52" customFormat="1" ht="12" customHeight="1">
      <c r="A30" s="907"/>
      <c r="B30" s="915"/>
      <c r="C30" s="915"/>
      <c r="D30" s="915"/>
      <c r="E30" s="909"/>
      <c r="F30" s="1019"/>
      <c r="G30" s="1019"/>
      <c r="H30" s="1019"/>
      <c r="I30" s="1019"/>
      <c r="J30" s="1019"/>
      <c r="K30" s="1019"/>
      <c r="L30" s="911"/>
      <c r="M30" s="911"/>
      <c r="N30" s="911"/>
      <c r="O30" s="768"/>
      <c r="Q30" s="47"/>
    </row>
    <row r="31" spans="1:17" s="52" customFormat="1" ht="12.75" customHeight="1">
      <c r="A31" s="47"/>
      <c r="B31" s="47"/>
      <c r="C31" s="47"/>
      <c r="D31" s="47"/>
      <c r="E31" s="49"/>
      <c r="F31" s="37"/>
      <c r="G31" s="49"/>
      <c r="H31" s="49"/>
      <c r="I31" s="49"/>
      <c r="J31" s="49"/>
      <c r="K31" s="49"/>
      <c r="L31" s="49"/>
      <c r="M31" s="49"/>
      <c r="N31" s="49"/>
      <c r="O31" s="759"/>
      <c r="Q31" s="47"/>
    </row>
    <row r="32" spans="1:17" s="52" customFormat="1" ht="12.75">
      <c r="A32" s="47"/>
      <c r="B32" s="47"/>
      <c r="C32" s="47"/>
      <c r="D32" s="47"/>
      <c r="E32" s="49"/>
      <c r="F32" s="544"/>
      <c r="G32" s="49"/>
      <c r="H32" s="49"/>
      <c r="I32" s="49"/>
      <c r="J32" s="49"/>
      <c r="K32" s="49"/>
      <c r="L32" s="49"/>
      <c r="M32" s="49"/>
      <c r="N32" s="49"/>
      <c r="O32" s="759"/>
      <c r="Q32" s="47"/>
    </row>
    <row r="33" spans="1:17" s="52" customFormat="1" ht="23.25">
      <c r="A33" s="47"/>
      <c r="B33" s="47"/>
      <c r="C33" s="47"/>
      <c r="D33" s="47"/>
      <c r="E33" s="1005"/>
      <c r="F33" s="1005"/>
      <c r="G33" s="49"/>
      <c r="H33" s="49"/>
      <c r="I33" s="49"/>
      <c r="J33" s="49"/>
      <c r="K33" s="49"/>
      <c r="L33" s="49"/>
      <c r="M33" s="49"/>
      <c r="N33" s="49"/>
      <c r="O33" s="759"/>
      <c r="Q33" s="47"/>
    </row>
    <row r="34" spans="1:17" s="52" customFormat="1" ht="23.25">
      <c r="A34" s="47"/>
      <c r="B34" s="47"/>
      <c r="C34" s="47"/>
      <c r="D34" s="47"/>
      <c r="E34" s="1004"/>
      <c r="F34" s="1004"/>
      <c r="G34" s="49"/>
      <c r="H34" s="49"/>
      <c r="I34" s="49"/>
      <c r="J34" s="49"/>
      <c r="K34" s="49"/>
      <c r="L34" s="49"/>
      <c r="M34" s="49"/>
      <c r="N34" s="49"/>
      <c r="O34" s="759"/>
      <c r="Q34" s="47"/>
    </row>
    <row r="35" spans="1:17" s="52" customFormat="1" ht="23.25">
      <c r="A35" s="47"/>
      <c r="B35" s="47"/>
      <c r="C35" s="47"/>
      <c r="D35" s="47"/>
      <c r="E35" s="1004"/>
      <c r="F35" s="1004"/>
      <c r="G35" s="49"/>
      <c r="H35" s="49"/>
      <c r="I35" s="49"/>
      <c r="J35" s="49"/>
      <c r="K35" s="49"/>
      <c r="L35" s="49"/>
      <c r="M35" s="49"/>
      <c r="N35" s="49"/>
      <c r="O35" s="759"/>
      <c r="Q35" s="47"/>
    </row>
    <row r="36" spans="1:17" s="52" customFormat="1" ht="23.25">
      <c r="A36" s="47"/>
      <c r="B36" s="47"/>
      <c r="C36" s="47"/>
      <c r="D36" s="47"/>
      <c r="E36" s="1004"/>
      <c r="F36" s="1004"/>
      <c r="G36" s="49"/>
      <c r="H36" s="49"/>
      <c r="I36" s="49"/>
      <c r="J36" s="49"/>
      <c r="K36" s="49"/>
      <c r="L36" s="49"/>
      <c r="M36" s="49"/>
      <c r="N36" s="49"/>
      <c r="O36" s="759"/>
      <c r="Q36" s="47"/>
    </row>
    <row r="37" spans="1:17" s="52" customFormat="1" ht="23.25">
      <c r="A37" s="47"/>
      <c r="B37" s="47"/>
      <c r="C37" s="47"/>
      <c r="D37" s="47"/>
      <c r="E37" s="1004"/>
      <c r="F37" s="1004"/>
      <c r="G37" s="49"/>
      <c r="H37" s="49"/>
      <c r="I37" s="49"/>
      <c r="J37" s="49"/>
      <c r="K37" s="49"/>
      <c r="L37" s="49"/>
      <c r="M37" s="49"/>
      <c r="N37" s="49"/>
      <c r="O37" s="759"/>
      <c r="Q37" s="47"/>
    </row>
    <row r="38" spans="1:17" s="52" customFormat="1" ht="23.25">
      <c r="A38" s="47"/>
      <c r="B38" s="47"/>
      <c r="C38" s="47"/>
      <c r="D38" s="47"/>
      <c r="E38" s="1004"/>
      <c r="F38" s="1004"/>
      <c r="G38" s="49"/>
      <c r="H38" s="49"/>
      <c r="I38" s="49"/>
      <c r="J38" s="49"/>
      <c r="K38" s="49"/>
      <c r="L38" s="49"/>
      <c r="M38" s="49"/>
      <c r="N38" s="49"/>
      <c r="O38" s="759"/>
      <c r="Q38" s="47"/>
    </row>
    <row r="39" spans="1:17" s="52" customFormat="1" ht="23.25">
      <c r="A39" s="47"/>
      <c r="B39" s="47"/>
      <c r="C39" s="47"/>
      <c r="D39" s="47"/>
      <c r="E39" s="1004"/>
      <c r="F39" s="1004"/>
      <c r="G39" s="49"/>
      <c r="H39" s="49"/>
      <c r="I39" s="49"/>
      <c r="J39" s="49"/>
      <c r="K39" s="49"/>
      <c r="L39" s="49"/>
      <c r="M39" s="49"/>
      <c r="N39" s="49"/>
      <c r="O39" s="759"/>
      <c r="Q39" s="47"/>
    </row>
  </sheetData>
  <sheetProtection password="C5D3" sheet="1"/>
  <mergeCells count="45">
    <mergeCell ref="E37:F37"/>
    <mergeCell ref="E38:F38"/>
    <mergeCell ref="E39:F39"/>
    <mergeCell ref="F29:K29"/>
    <mergeCell ref="F30:K30"/>
    <mergeCell ref="E33:F33"/>
    <mergeCell ref="E34:F34"/>
    <mergeCell ref="E35:F35"/>
    <mergeCell ref="E36:F36"/>
    <mergeCell ref="E23:E24"/>
    <mergeCell ref="F23:F24"/>
    <mergeCell ref="O24:P24"/>
    <mergeCell ref="E25:E26"/>
    <mergeCell ref="F25:F26"/>
    <mergeCell ref="F28:K28"/>
    <mergeCell ref="A21:A22"/>
    <mergeCell ref="B21:D22"/>
    <mergeCell ref="E21:E22"/>
    <mergeCell ref="F21:F22"/>
    <mergeCell ref="A19:A20"/>
    <mergeCell ref="B19:D20"/>
    <mergeCell ref="E19:E20"/>
    <mergeCell ref="F19:F20"/>
    <mergeCell ref="A15:A16"/>
    <mergeCell ref="B15:D16"/>
    <mergeCell ref="E15:E16"/>
    <mergeCell ref="F15:F16"/>
    <mergeCell ref="A17:A18"/>
    <mergeCell ref="B17:D18"/>
    <mergeCell ref="E17:E18"/>
    <mergeCell ref="F17:F18"/>
    <mergeCell ref="A11:A12"/>
    <mergeCell ref="B11:D12"/>
    <mergeCell ref="E11:E12"/>
    <mergeCell ref="F11:F12"/>
    <mergeCell ref="A13:A14"/>
    <mergeCell ref="B13:D14"/>
    <mergeCell ref="E13:E14"/>
    <mergeCell ref="F13:F14"/>
    <mergeCell ref="G9:N9"/>
    <mergeCell ref="A8:L8"/>
    <mergeCell ref="A9:A10"/>
    <mergeCell ref="B9:D10"/>
    <mergeCell ref="E9:E10"/>
    <mergeCell ref="F9:F10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65" r:id="rId1"/>
  <colBreaks count="1" manualBreakCount="1">
    <brk id="14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V159"/>
  <sheetViews>
    <sheetView showGridLines="0" showZeros="0" view="pageBreakPreview" zoomScale="70" zoomScaleNormal="80" zoomScaleSheetLayoutView="70" workbookViewId="0" topLeftCell="A1">
      <selection activeCell="M56" sqref="M56"/>
    </sheetView>
  </sheetViews>
  <sheetFormatPr defaultColWidth="9.140625" defaultRowHeight="12.75"/>
  <cols>
    <col min="1" max="1" width="12.28125" style="571" bestFit="1" customWidth="1"/>
    <col min="2" max="2" width="13.421875" style="566" bestFit="1" customWidth="1"/>
    <col min="3" max="3" width="14.8515625" style="90" customWidth="1"/>
    <col min="4" max="4" width="8.7109375" style="125" customWidth="1"/>
    <col min="5" max="5" width="71.28125" style="19" customWidth="1"/>
    <col min="6" max="6" width="8.28125" style="624" customWidth="1"/>
    <col min="7" max="7" width="20.57421875" style="624" hidden="1" customWidth="1"/>
    <col min="8" max="8" width="10.7109375" style="571" customWidth="1"/>
    <col min="9" max="9" width="10.28125" style="571" hidden="1" customWidth="1"/>
    <col min="10" max="10" width="17.57421875" style="603" customWidth="1"/>
    <col min="11" max="11" width="19.28125" style="603" bestFit="1" customWidth="1"/>
    <col min="12" max="12" width="21.00390625" style="559" customWidth="1"/>
    <col min="13" max="13" width="22.8515625" style="13" customWidth="1"/>
    <col min="14" max="14" width="18.140625" style="13" customWidth="1"/>
    <col min="15" max="15" width="15.7109375" style="13" customWidth="1"/>
    <col min="16" max="16384" width="9.140625" style="13" customWidth="1"/>
  </cols>
  <sheetData>
    <row r="1" spans="1:12" s="3" customFormat="1" ht="24.75" customHeight="1">
      <c r="A1" s="602"/>
      <c r="B1" s="566"/>
      <c r="C1" s="869"/>
      <c r="D1" s="870"/>
      <c r="E1" s="871"/>
      <c r="F1" s="870"/>
      <c r="G1" s="870"/>
      <c r="H1" s="872"/>
      <c r="I1" s="872"/>
      <c r="J1" s="873"/>
      <c r="K1" s="873"/>
      <c r="L1" s="603"/>
    </row>
    <row r="2" spans="1:15" s="3" customFormat="1" ht="15">
      <c r="A2" s="602"/>
      <c r="B2" s="566"/>
      <c r="C2" s="869"/>
      <c r="D2" s="870"/>
      <c r="E2" s="871"/>
      <c r="F2" s="870"/>
      <c r="G2" s="870"/>
      <c r="H2" s="872"/>
      <c r="I2" s="872"/>
      <c r="J2" s="872"/>
      <c r="K2" s="872"/>
      <c r="L2" s="603"/>
      <c r="M2" s="932"/>
      <c r="N2" s="932"/>
      <c r="O2" s="932"/>
    </row>
    <row r="3" spans="1:15" s="3" customFormat="1" ht="12.75" customHeight="1">
      <c r="A3" s="604"/>
      <c r="B3" s="605"/>
      <c r="C3" s="869"/>
      <c r="D3" s="870"/>
      <c r="E3" s="874"/>
      <c r="F3" s="870"/>
      <c r="G3" s="870"/>
      <c r="H3" s="872"/>
      <c r="I3" s="872"/>
      <c r="J3" s="875"/>
      <c r="K3" s="872"/>
      <c r="L3" s="603"/>
      <c r="M3" s="468"/>
      <c r="N3" s="468"/>
      <c r="O3" s="933"/>
    </row>
    <row r="4" spans="1:15" s="21" customFormat="1" ht="19.5" customHeight="1">
      <c r="A4" s="505">
        <f>A3/B11</f>
        <v>0</v>
      </c>
      <c r="B4" s="566"/>
      <c r="C4" s="44" t="s">
        <v>14</v>
      </c>
      <c r="D4" s="45" t="str">
        <f>DADOS!B2</f>
        <v>BASE PARA LOTES URBANIZADOS - RADIER</v>
      </c>
      <c r="J4" s="648"/>
      <c r="K4" s="508"/>
      <c r="L4" s="18"/>
      <c r="M4" s="468"/>
      <c r="N4" s="468"/>
      <c r="O4" s="934"/>
    </row>
    <row r="5" spans="1:15" s="21" customFormat="1" ht="19.5" customHeight="1">
      <c r="A5" s="505"/>
      <c r="B5" s="566"/>
      <c r="C5" s="44" t="str">
        <f>DADOS!A3</f>
        <v>Local:</v>
      </c>
      <c r="D5" s="746" t="str">
        <f>DADOS!B3</f>
        <v>LOTEAMENTO JARDIM DOS ESTADOS</v>
      </c>
      <c r="F5" s="476"/>
      <c r="G5" s="476"/>
      <c r="J5" s="647"/>
      <c r="L5" s="18"/>
      <c r="M5" s="468"/>
      <c r="N5" s="468"/>
      <c r="O5" s="468"/>
    </row>
    <row r="6" spans="1:15" s="21" customFormat="1" ht="19.5" customHeight="1">
      <c r="A6" s="506"/>
      <c r="B6" s="566"/>
      <c r="C6" s="44" t="s">
        <v>13</v>
      </c>
      <c r="D6" s="45" t="str">
        <f>DADOS!B4</f>
        <v>RIBAS DO RIO PARDO/MS</v>
      </c>
      <c r="F6" s="1043"/>
      <c r="G6" s="1043"/>
      <c r="H6" s="1043"/>
      <c r="I6" s="600"/>
      <c r="J6" s="507" t="s">
        <v>49</v>
      </c>
      <c r="K6" s="509" t="str">
        <f>DADOS!B8</f>
        <v>MAR / 2021</v>
      </c>
      <c r="L6" s="18"/>
      <c r="M6" s="96"/>
      <c r="N6" s="468"/>
      <c r="O6" s="935"/>
    </row>
    <row r="7" spans="1:15" s="21" customFormat="1" ht="19.5" customHeight="1">
      <c r="A7" s="506"/>
      <c r="B7" s="513"/>
      <c r="C7" s="44" t="s">
        <v>63</v>
      </c>
      <c r="D7" s="504">
        <f>DADOS!B5</f>
        <v>70</v>
      </c>
      <c r="E7" s="42" t="s">
        <v>64</v>
      </c>
      <c r="F7" s="476" t="s">
        <v>268</v>
      </c>
      <c r="G7" s="476"/>
      <c r="H7" s="506" t="str">
        <f>DADOS!B9</f>
        <v>42,56 m²</v>
      </c>
      <c r="I7" s="506"/>
      <c r="J7" s="507" t="s">
        <v>416</v>
      </c>
      <c r="K7" s="510">
        <f>B11-1</f>
        <v>0.22219999999999995</v>
      </c>
      <c r="L7" s="96"/>
      <c r="M7" s="96"/>
      <c r="N7" s="468"/>
      <c r="O7" s="935"/>
    </row>
    <row r="8" spans="1:15" s="21" customFormat="1" ht="19.5" customHeight="1">
      <c r="A8" s="506"/>
      <c r="B8" s="606"/>
      <c r="C8" s="91"/>
      <c r="D8" s="83"/>
      <c r="E8" s="42"/>
      <c r="F8" s="1043"/>
      <c r="G8" s="1043"/>
      <c r="H8" s="1043"/>
      <c r="I8" s="600"/>
      <c r="J8" s="600" t="s">
        <v>297</v>
      </c>
      <c r="K8" s="607">
        <f>K64</f>
        <v>0</v>
      </c>
      <c r="L8" s="608"/>
      <c r="M8" s="96"/>
      <c r="N8" s="468"/>
      <c r="O8" s="936"/>
    </row>
    <row r="9" spans="1:15" s="21" customFormat="1" ht="26.25" customHeight="1">
      <c r="A9" s="506"/>
      <c r="B9" s="772"/>
      <c r="C9" s="773"/>
      <c r="D9" s="1046"/>
      <c r="E9" s="1046"/>
      <c r="F9" s="1046"/>
      <c r="G9" s="1046"/>
      <c r="H9" s="1046"/>
      <c r="I9" s="600"/>
      <c r="J9" s="600"/>
      <c r="K9" s="607"/>
      <c r="L9" s="608"/>
      <c r="M9" s="96"/>
      <c r="N9" s="468"/>
      <c r="O9" s="936"/>
    </row>
    <row r="10" spans="1:15" s="21" customFormat="1" ht="24.75" customHeight="1">
      <c r="A10" s="609"/>
      <c r="B10" s="610" t="s">
        <v>62</v>
      </c>
      <c r="C10" s="1045" t="s">
        <v>51</v>
      </c>
      <c r="D10" s="1045"/>
      <c r="E10" s="1045"/>
      <c r="F10" s="1045"/>
      <c r="G10" s="1045"/>
      <c r="H10" s="1045"/>
      <c r="I10" s="1045"/>
      <c r="J10" s="1045"/>
      <c r="K10" s="1045"/>
      <c r="L10" s="96"/>
      <c r="M10" s="937"/>
      <c r="N10" s="938"/>
      <c r="O10" s="939"/>
    </row>
    <row r="11" spans="1:15" ht="18" customHeight="1">
      <c r="A11" s="1021"/>
      <c r="B11" s="1023">
        <f>DADOS!B10</f>
        <v>1.2222</v>
      </c>
      <c r="C11" s="1034" t="s">
        <v>277</v>
      </c>
      <c r="D11" s="1026" t="s">
        <v>16</v>
      </c>
      <c r="E11" s="1028" t="s">
        <v>219</v>
      </c>
      <c r="F11" s="1030" t="s">
        <v>220</v>
      </c>
      <c r="G11" s="1036" t="s">
        <v>298</v>
      </c>
      <c r="H11" s="1032" t="s">
        <v>221</v>
      </c>
      <c r="I11" s="1038" t="s">
        <v>299</v>
      </c>
      <c r="J11" s="1044" t="s">
        <v>222</v>
      </c>
      <c r="K11" s="1044"/>
      <c r="M11" s="468"/>
      <c r="N11" s="468"/>
      <c r="O11" s="468"/>
    </row>
    <row r="12" spans="1:15" ht="28.5" customHeight="1">
      <c r="A12" s="1022"/>
      <c r="B12" s="1024"/>
      <c r="C12" s="1035"/>
      <c r="D12" s="1027"/>
      <c r="E12" s="1029"/>
      <c r="F12" s="1031"/>
      <c r="G12" s="1037"/>
      <c r="H12" s="1033"/>
      <c r="I12" s="1039"/>
      <c r="J12" s="670" t="s">
        <v>1</v>
      </c>
      <c r="K12" s="671" t="s">
        <v>3</v>
      </c>
      <c r="M12" s="468"/>
      <c r="N12" s="933"/>
      <c r="O12" s="468"/>
    </row>
    <row r="13" spans="1:15" s="613" customFormat="1" ht="39.75" customHeight="1">
      <c r="A13" s="684"/>
      <c r="B13" s="1025"/>
      <c r="C13" s="662"/>
      <c r="D13" s="663">
        <v>1</v>
      </c>
      <c r="E13" s="664" t="s">
        <v>235</v>
      </c>
      <c r="F13" s="665"/>
      <c r="G13" s="666"/>
      <c r="H13" s="667"/>
      <c r="I13" s="667"/>
      <c r="J13" s="668"/>
      <c r="K13" s="669"/>
      <c r="L13" s="612"/>
      <c r="M13" s="468"/>
      <c r="N13" s="938"/>
      <c r="O13" s="468"/>
    </row>
    <row r="14" spans="1:13" s="613" customFormat="1" ht="39.75" customHeight="1">
      <c r="A14" s="685"/>
      <c r="B14" s="691"/>
      <c r="C14" s="713" t="s">
        <v>291</v>
      </c>
      <c r="D14" s="576" t="s">
        <v>4</v>
      </c>
      <c r="E14" s="584" t="s">
        <v>399</v>
      </c>
      <c r="F14" s="577" t="s">
        <v>269</v>
      </c>
      <c r="G14" s="661">
        <v>200</v>
      </c>
      <c r="H14" s="654">
        <f>G14*$D$7</f>
        <v>14000</v>
      </c>
      <c r="I14" s="652" t="e">
        <f>VLOOKUP(C14,#REF!,5,0)</f>
        <v>#REF!</v>
      </c>
      <c r="J14" s="865"/>
      <c r="K14" s="578">
        <f aca="true" t="shared" si="0" ref="K14:K20">TRUNC(H14*J14,2)</f>
        <v>0</v>
      </c>
      <c r="L14" s="754"/>
      <c r="M14" s="558"/>
    </row>
    <row r="15" spans="1:12" s="558" customFormat="1" ht="39.75" customHeight="1">
      <c r="A15" s="685"/>
      <c r="B15" s="692"/>
      <c r="C15" s="712" t="s">
        <v>283</v>
      </c>
      <c r="D15" s="576" t="s">
        <v>228</v>
      </c>
      <c r="E15" s="584" t="s">
        <v>324</v>
      </c>
      <c r="F15" s="577" t="s">
        <v>269</v>
      </c>
      <c r="G15" s="661">
        <v>60.38</v>
      </c>
      <c r="H15" s="654">
        <f>G15*$D$7</f>
        <v>4226.6</v>
      </c>
      <c r="I15" s="656">
        <f>VLOOKUP(C15,COMPOSIÇÕES!$L$15:$O$6153,4,0)</f>
        <v>0</v>
      </c>
      <c r="J15" s="865"/>
      <c r="K15" s="578">
        <f t="shared" si="0"/>
        <v>0</v>
      </c>
      <c r="L15" s="614"/>
    </row>
    <row r="16" spans="1:13" s="358" customFormat="1" ht="39.75" customHeight="1">
      <c r="A16" s="686"/>
      <c r="B16" s="691"/>
      <c r="C16" s="713" t="s">
        <v>284</v>
      </c>
      <c r="D16" s="576" t="s">
        <v>229</v>
      </c>
      <c r="E16" s="584" t="s">
        <v>369</v>
      </c>
      <c r="F16" s="653" t="s">
        <v>269</v>
      </c>
      <c r="G16" s="660"/>
      <c r="H16" s="583">
        <v>14</v>
      </c>
      <c r="I16" s="652" t="e">
        <f>VLOOKUP(C16,#REF!,5,0)</f>
        <v>#REF!</v>
      </c>
      <c r="J16" s="865"/>
      <c r="K16" s="578">
        <f t="shared" si="0"/>
        <v>0</v>
      </c>
      <c r="L16" s="614"/>
      <c r="M16" s="558"/>
    </row>
    <row r="17" spans="1:22" s="358" customFormat="1" ht="39.75" customHeight="1">
      <c r="A17" s="685"/>
      <c r="B17" s="691"/>
      <c r="C17" s="714" t="s">
        <v>315</v>
      </c>
      <c r="D17" s="576" t="s">
        <v>230</v>
      </c>
      <c r="E17" s="584" t="s">
        <v>312</v>
      </c>
      <c r="F17" s="577" t="s">
        <v>17</v>
      </c>
      <c r="G17" s="577"/>
      <c r="H17" s="583">
        <v>8</v>
      </c>
      <c r="I17" s="656">
        <f>VLOOKUP(C17,COMPOSIÇÕES!$L$15:$O$6153,4,0)</f>
        <v>0</v>
      </c>
      <c r="J17" s="865"/>
      <c r="K17" s="578">
        <f t="shared" si="0"/>
        <v>0</v>
      </c>
      <c r="L17" s="743"/>
      <c r="M17" s="558"/>
      <c r="P17" s="1020"/>
      <c r="Q17" s="1020"/>
      <c r="R17" s="1020"/>
      <c r="S17" s="1020"/>
      <c r="T17" s="1020"/>
      <c r="U17" s="1020"/>
      <c r="V17" s="1020"/>
    </row>
    <row r="18" spans="1:21" s="358" customFormat="1" ht="39.75" customHeight="1">
      <c r="A18" s="685"/>
      <c r="B18" s="693"/>
      <c r="C18" s="713" t="s">
        <v>236</v>
      </c>
      <c r="D18" s="576" t="s">
        <v>231</v>
      </c>
      <c r="E18" s="584" t="s">
        <v>260</v>
      </c>
      <c r="F18" s="653" t="s">
        <v>293</v>
      </c>
      <c r="G18" s="579"/>
      <c r="H18" s="583">
        <v>1</v>
      </c>
      <c r="I18" s="656">
        <f>VLOOKUP(C18,COMPOSIÇÕES!$L$34:$O$6153,4,0)</f>
        <v>0</v>
      </c>
      <c r="J18" s="865"/>
      <c r="K18" s="578">
        <f t="shared" si="0"/>
        <v>0</v>
      </c>
      <c r="L18" s="614"/>
      <c r="M18" s="558"/>
      <c r="Q18" s="567"/>
      <c r="R18" s="572"/>
      <c r="S18" s="567"/>
      <c r="T18" s="572"/>
      <c r="U18" s="567"/>
    </row>
    <row r="19" spans="1:13" s="358" customFormat="1" ht="39.75" customHeight="1">
      <c r="A19" s="685"/>
      <c r="B19" s="693"/>
      <c r="C19" s="714" t="s">
        <v>237</v>
      </c>
      <c r="D19" s="576" t="s">
        <v>232</v>
      </c>
      <c r="E19" s="584" t="s">
        <v>233</v>
      </c>
      <c r="F19" s="653" t="s">
        <v>293</v>
      </c>
      <c r="G19" s="579"/>
      <c r="H19" s="583">
        <v>1</v>
      </c>
      <c r="I19" s="656">
        <f>VLOOKUP(C19,COMPOSIÇÕES!$L$35:$O$6153,4,0)</f>
        <v>0</v>
      </c>
      <c r="J19" s="865"/>
      <c r="K19" s="578">
        <f t="shared" si="0"/>
        <v>0</v>
      </c>
      <c r="L19" s="614"/>
      <c r="M19" s="558"/>
    </row>
    <row r="20" spans="1:12" s="358" customFormat="1" ht="39.75" customHeight="1">
      <c r="A20" s="685"/>
      <c r="B20" s="694"/>
      <c r="C20" s="714" t="s">
        <v>424</v>
      </c>
      <c r="D20" s="576" t="s">
        <v>270</v>
      </c>
      <c r="E20" s="584" t="s">
        <v>234</v>
      </c>
      <c r="F20" s="653" t="s">
        <v>304</v>
      </c>
      <c r="G20" s="579"/>
      <c r="H20" s="583">
        <v>1</v>
      </c>
      <c r="I20" s="652">
        <f>O10</f>
        <v>0</v>
      </c>
      <c r="J20" s="865"/>
      <c r="K20" s="578">
        <f t="shared" si="0"/>
        <v>0</v>
      </c>
      <c r="L20" s="614"/>
    </row>
    <row r="21" spans="1:14" s="558" customFormat="1" ht="39.75" customHeight="1">
      <c r="A21" s="687"/>
      <c r="B21" s="695"/>
      <c r="C21" s="715"/>
      <c r="D21" s="586"/>
      <c r="E21" s="593" t="s">
        <v>278</v>
      </c>
      <c r="F21" s="587"/>
      <c r="G21" s="587"/>
      <c r="H21" s="588"/>
      <c r="I21" s="588"/>
      <c r="J21" s="866">
        <f>ROUND(B21*$B$11,2)</f>
        <v>0</v>
      </c>
      <c r="K21" s="580">
        <f>SUM(K14:K20)</f>
        <v>0</v>
      </c>
      <c r="L21" s="15"/>
      <c r="N21" s="611"/>
    </row>
    <row r="22" spans="1:12" s="558" customFormat="1" ht="39.75" customHeight="1">
      <c r="A22" s="688"/>
      <c r="B22" s="695"/>
      <c r="C22" s="716"/>
      <c r="D22" s="677">
        <v>2</v>
      </c>
      <c r="E22" s="678" t="s">
        <v>66</v>
      </c>
      <c r="F22" s="679"/>
      <c r="G22" s="680"/>
      <c r="H22" s="681"/>
      <c r="I22" s="681"/>
      <c r="J22" s="867">
        <f>ROUND(B22*$B$11,2)</f>
        <v>0</v>
      </c>
      <c r="K22" s="682"/>
      <c r="L22" s="15"/>
    </row>
    <row r="23" spans="1:12" s="558" customFormat="1" ht="39.75" customHeight="1">
      <c r="A23" s="689"/>
      <c r="B23" s="691"/>
      <c r="C23" s="711" t="s">
        <v>265</v>
      </c>
      <c r="D23" s="582" t="s">
        <v>5</v>
      </c>
      <c r="E23" s="584" t="s">
        <v>390</v>
      </c>
      <c r="F23" s="577" t="s">
        <v>285</v>
      </c>
      <c r="G23" s="656">
        <v>0.48</v>
      </c>
      <c r="H23" s="654">
        <f aca="true" t="shared" si="1" ref="H23:H29">G23*$D$7</f>
        <v>33.6</v>
      </c>
      <c r="I23" s="652" t="e">
        <f>VLOOKUP(C23,#REF!,5,0)</f>
        <v>#REF!</v>
      </c>
      <c r="J23" s="865"/>
      <c r="K23" s="578">
        <f aca="true" t="shared" si="2" ref="K23:K28">TRUNC(H23*J23,2)</f>
        <v>0</v>
      </c>
      <c r="L23" s="15"/>
    </row>
    <row r="24" spans="1:12" s="558" customFormat="1" ht="39.75" customHeight="1">
      <c r="A24" s="689"/>
      <c r="B24" s="691"/>
      <c r="C24" s="711" t="s">
        <v>286</v>
      </c>
      <c r="D24" s="582" t="s">
        <v>271</v>
      </c>
      <c r="E24" s="584" t="s">
        <v>372</v>
      </c>
      <c r="F24" s="577" t="s">
        <v>269</v>
      </c>
      <c r="G24" s="656">
        <v>62.19</v>
      </c>
      <c r="H24" s="654">
        <f t="shared" si="1"/>
        <v>4353.3</v>
      </c>
      <c r="I24" s="652" t="e">
        <f>VLOOKUP(C24,#REF!,5,0)</f>
        <v>#REF!</v>
      </c>
      <c r="J24" s="865"/>
      <c r="K24" s="578">
        <f t="shared" si="2"/>
        <v>0</v>
      </c>
      <c r="L24" s="753"/>
    </row>
    <row r="25" spans="1:20" s="558" customFormat="1" ht="39.75" customHeight="1">
      <c r="A25" s="689"/>
      <c r="B25" s="691"/>
      <c r="C25" s="711" t="s">
        <v>395</v>
      </c>
      <c r="D25" s="582" t="s">
        <v>28</v>
      </c>
      <c r="E25" s="584" t="s">
        <v>396</v>
      </c>
      <c r="F25" s="577" t="s">
        <v>269</v>
      </c>
      <c r="G25" s="656">
        <v>62.19</v>
      </c>
      <c r="H25" s="654">
        <f t="shared" si="1"/>
        <v>4353.3</v>
      </c>
      <c r="I25" s="652" t="e">
        <f>VLOOKUP(C25,#REF!,5,0)</f>
        <v>#REF!</v>
      </c>
      <c r="J25" s="865"/>
      <c r="K25" s="578">
        <f t="shared" si="2"/>
        <v>0</v>
      </c>
      <c r="L25" s="744"/>
      <c r="M25" s="703"/>
      <c r="N25" s="703"/>
      <c r="O25" s="703"/>
      <c r="P25" s="703"/>
      <c r="Q25" s="703"/>
      <c r="R25" s="703"/>
      <c r="S25" s="703"/>
      <c r="T25" s="703"/>
    </row>
    <row r="26" spans="1:20" s="558" customFormat="1" ht="39.75" customHeight="1">
      <c r="A26" s="689"/>
      <c r="B26" s="696"/>
      <c r="C26" s="717" t="s">
        <v>67</v>
      </c>
      <c r="D26" s="582" t="s">
        <v>30</v>
      </c>
      <c r="E26" s="584" t="s">
        <v>409</v>
      </c>
      <c r="F26" s="577" t="s">
        <v>294</v>
      </c>
      <c r="G26" s="656">
        <v>201.03</v>
      </c>
      <c r="H26" s="654">
        <f t="shared" si="1"/>
        <v>14072.1</v>
      </c>
      <c r="I26" s="656">
        <f>VLOOKUP(C26,COMPOSIÇÕES!$L$35:$O$6153,4,0)</f>
        <v>0</v>
      </c>
      <c r="J26" s="865"/>
      <c r="K26" s="578">
        <f>TRUNC(H26*J26,2)</f>
        <v>0</v>
      </c>
      <c r="L26" s="704"/>
      <c r="M26" s="703"/>
      <c r="N26" s="703"/>
      <c r="O26" s="705"/>
      <c r="P26" s="703"/>
      <c r="Q26" s="703"/>
      <c r="R26" s="703"/>
      <c r="S26" s="703"/>
      <c r="T26" s="703"/>
    </row>
    <row r="27" spans="1:20" s="558" customFormat="1" ht="39.75" customHeight="1">
      <c r="A27" s="689"/>
      <c r="B27" s="691"/>
      <c r="C27" s="711" t="s">
        <v>287</v>
      </c>
      <c r="D27" s="582" t="s">
        <v>86</v>
      </c>
      <c r="E27" s="584" t="s">
        <v>373</v>
      </c>
      <c r="F27" s="577" t="s">
        <v>269</v>
      </c>
      <c r="G27" s="656">
        <v>3.17</v>
      </c>
      <c r="H27" s="654">
        <f t="shared" si="1"/>
        <v>221.9</v>
      </c>
      <c r="I27" s="652" t="e">
        <f>VLOOKUP(C27,#REF!,5,0)</f>
        <v>#REF!</v>
      </c>
      <c r="J27" s="865"/>
      <c r="K27" s="578">
        <f t="shared" si="2"/>
        <v>0</v>
      </c>
      <c r="L27" s="702"/>
      <c r="M27" s="703"/>
      <c r="N27" s="703"/>
      <c r="O27" s="703"/>
      <c r="P27" s="703"/>
      <c r="Q27" s="703"/>
      <c r="R27" s="703"/>
      <c r="S27" s="703"/>
      <c r="T27" s="703"/>
    </row>
    <row r="28" spans="1:20" s="558" customFormat="1" ht="39.75" customHeight="1">
      <c r="A28" s="689"/>
      <c r="B28" s="691"/>
      <c r="C28" s="739" t="s">
        <v>375</v>
      </c>
      <c r="D28" s="582" t="s">
        <v>87</v>
      </c>
      <c r="E28" s="584" t="s">
        <v>376</v>
      </c>
      <c r="F28" s="577" t="s">
        <v>285</v>
      </c>
      <c r="G28" s="656">
        <v>6.52</v>
      </c>
      <c r="H28" s="654">
        <f t="shared" si="1"/>
        <v>456.4</v>
      </c>
      <c r="I28" s="652" t="e">
        <f>VLOOKUP(C28,#REF!,5,0)</f>
        <v>#REF!</v>
      </c>
      <c r="J28" s="865"/>
      <c r="K28" s="578">
        <f t="shared" si="2"/>
        <v>0</v>
      </c>
      <c r="L28" s="702"/>
      <c r="M28" s="703"/>
      <c r="N28" s="703"/>
      <c r="O28" s="703"/>
      <c r="P28" s="703"/>
      <c r="Q28" s="703"/>
      <c r="R28" s="703"/>
      <c r="S28" s="703"/>
      <c r="T28" s="703"/>
    </row>
    <row r="29" spans="1:20" s="558" customFormat="1" ht="39.75" customHeight="1">
      <c r="A29" s="689"/>
      <c r="B29" s="691"/>
      <c r="C29" s="739" t="s">
        <v>432</v>
      </c>
      <c r="D29" s="582" t="s">
        <v>88</v>
      </c>
      <c r="E29" s="584" t="s">
        <v>433</v>
      </c>
      <c r="F29" s="653" t="s">
        <v>285</v>
      </c>
      <c r="G29" s="656">
        <v>6.52</v>
      </c>
      <c r="H29" s="654">
        <f t="shared" si="1"/>
        <v>456.4</v>
      </c>
      <c r="I29" s="656">
        <f>VLOOKUP(C29,COMPOSIÇÕES!$L$34:$O$6153,4,0)</f>
        <v>0</v>
      </c>
      <c r="J29" s="865"/>
      <c r="K29" s="578">
        <f>TRUNC(H29*J29,2)</f>
        <v>0</v>
      </c>
      <c r="L29" s="702"/>
      <c r="M29" s="703"/>
      <c r="N29" s="703"/>
      <c r="O29" s="703"/>
      <c r="P29" s="703"/>
      <c r="Q29" s="703"/>
      <c r="R29" s="703"/>
      <c r="S29" s="703"/>
      <c r="T29" s="703"/>
    </row>
    <row r="30" spans="1:20" s="558" customFormat="1" ht="39.75" customHeight="1">
      <c r="A30" s="687"/>
      <c r="B30" s="695"/>
      <c r="C30" s="715"/>
      <c r="D30" s="586"/>
      <c r="E30" s="593" t="s">
        <v>279</v>
      </c>
      <c r="F30" s="587"/>
      <c r="G30" s="655"/>
      <c r="H30" s="589">
        <f>A30*$A$13</f>
        <v>0</v>
      </c>
      <c r="I30" s="589"/>
      <c r="J30" s="866">
        <f aca="true" t="shared" si="3" ref="J30:J41">ROUND(B30*$B$11,2)</f>
        <v>0</v>
      </c>
      <c r="K30" s="580">
        <f>SUM(K23:K29)</f>
        <v>0</v>
      </c>
      <c r="L30" s="704"/>
      <c r="M30" s="703"/>
      <c r="N30" s="703"/>
      <c r="O30" s="703"/>
      <c r="P30" s="703"/>
      <c r="Q30" s="703"/>
      <c r="R30" s="703"/>
      <c r="S30" s="703"/>
      <c r="T30" s="703"/>
    </row>
    <row r="31" spans="1:20" s="558" customFormat="1" ht="39.75" customHeight="1">
      <c r="A31" s="687"/>
      <c r="B31" s="697"/>
      <c r="C31" s="716"/>
      <c r="D31" s="677">
        <v>3</v>
      </c>
      <c r="E31" s="678" t="s">
        <v>7</v>
      </c>
      <c r="F31" s="679"/>
      <c r="G31" s="679"/>
      <c r="H31" s="683"/>
      <c r="I31" s="683"/>
      <c r="J31" s="867">
        <f t="shared" si="3"/>
        <v>0</v>
      </c>
      <c r="K31" s="682"/>
      <c r="L31" s="1040"/>
      <c r="M31" s="1040"/>
      <c r="N31" s="1040"/>
      <c r="O31" s="703"/>
      <c r="P31" s="703"/>
      <c r="Q31" s="703"/>
      <c r="R31" s="703"/>
      <c r="S31" s="703"/>
      <c r="T31" s="703"/>
    </row>
    <row r="32" spans="1:20" s="558" customFormat="1" ht="39.75" customHeight="1">
      <c r="A32" s="689"/>
      <c r="B32" s="696"/>
      <c r="C32" s="717" t="s">
        <v>68</v>
      </c>
      <c r="D32" s="582" t="s">
        <v>6</v>
      </c>
      <c r="E32" s="584" t="s">
        <v>69</v>
      </c>
      <c r="F32" s="577" t="s">
        <v>269</v>
      </c>
      <c r="G32" s="657">
        <v>7.73</v>
      </c>
      <c r="H32" s="654">
        <f>G32*$D$7</f>
        <v>541.1</v>
      </c>
      <c r="I32" s="656">
        <f>VLOOKUP(C32,COMPOSIÇÕES!$L$35:$O$6153,4,0)</f>
        <v>0</v>
      </c>
      <c r="J32" s="865"/>
      <c r="K32" s="581">
        <f>TRUNC(H32*J32,2)</f>
        <v>0</v>
      </c>
      <c r="L32" s="1041"/>
      <c r="M32" s="1041"/>
      <c r="N32" s="1041"/>
      <c r="O32" s="703"/>
      <c r="P32" s="703"/>
      <c r="Q32" s="703"/>
      <c r="R32" s="703"/>
      <c r="S32" s="703"/>
      <c r="T32" s="703"/>
    </row>
    <row r="33" spans="1:20" s="558" customFormat="1" ht="39.75" customHeight="1">
      <c r="A33" s="687"/>
      <c r="B33" s="697"/>
      <c r="C33" s="715"/>
      <c r="D33" s="586"/>
      <c r="E33" s="593" t="s">
        <v>280</v>
      </c>
      <c r="F33" s="587"/>
      <c r="G33" s="587"/>
      <c r="H33" s="588"/>
      <c r="I33" s="588"/>
      <c r="J33" s="866">
        <f t="shared" si="3"/>
        <v>0</v>
      </c>
      <c r="K33" s="580">
        <f>SUM(K32:K32)</f>
        <v>0</v>
      </c>
      <c r="L33" s="1041"/>
      <c r="M33" s="1041"/>
      <c r="N33" s="1041"/>
      <c r="O33" s="703"/>
      <c r="P33" s="703"/>
      <c r="Q33" s="703"/>
      <c r="R33" s="703"/>
      <c r="S33" s="703"/>
      <c r="T33" s="703"/>
    </row>
    <row r="34" spans="1:12" ht="39.75" customHeight="1">
      <c r="A34" s="687"/>
      <c r="B34" s="697"/>
      <c r="C34" s="716"/>
      <c r="D34" s="677">
        <v>4</v>
      </c>
      <c r="E34" s="678" t="s">
        <v>8</v>
      </c>
      <c r="F34" s="679"/>
      <c r="G34" s="680"/>
      <c r="H34" s="683"/>
      <c r="I34" s="683"/>
      <c r="J34" s="867">
        <f t="shared" si="3"/>
        <v>0</v>
      </c>
      <c r="K34" s="682"/>
      <c r="L34" s="15"/>
    </row>
    <row r="35" spans="1:12" ht="39.75" customHeight="1">
      <c r="A35" s="690"/>
      <c r="B35" s="691"/>
      <c r="C35" s="711" t="str">
        <f>COMPOSIÇÕES!B82</f>
        <v>AGEHAB.0100</v>
      </c>
      <c r="D35" s="582" t="s">
        <v>238</v>
      </c>
      <c r="E35" s="584" t="s">
        <v>313</v>
      </c>
      <c r="F35" s="577" t="s">
        <v>255</v>
      </c>
      <c r="G35" s="658">
        <v>12</v>
      </c>
      <c r="H35" s="654">
        <f>G35*$D$7</f>
        <v>840</v>
      </c>
      <c r="I35" s="656">
        <f>VLOOKUP(C35,COMPOSIÇÕES!$L$35:$O$6153,4,0)</f>
        <v>0</v>
      </c>
      <c r="J35" s="865"/>
      <c r="K35" s="578">
        <f>TRUNC(H35*J35,2)</f>
        <v>0</v>
      </c>
      <c r="L35" s="745"/>
    </row>
    <row r="36" spans="1:12" ht="39.75" customHeight="1">
      <c r="A36" s="690"/>
      <c r="B36" s="696"/>
      <c r="C36" s="717" t="s">
        <v>70</v>
      </c>
      <c r="D36" s="582" t="s">
        <v>239</v>
      </c>
      <c r="E36" s="584" t="s">
        <v>264</v>
      </c>
      <c r="F36" s="577" t="s">
        <v>408</v>
      </c>
      <c r="G36" s="658">
        <v>2</v>
      </c>
      <c r="H36" s="654">
        <f>G36*$D$7</f>
        <v>140</v>
      </c>
      <c r="I36" s="656">
        <f>VLOOKUP(C36,COMPOSIÇÕES!$L$35:$O$6153,4,0)</f>
        <v>0</v>
      </c>
      <c r="J36" s="865"/>
      <c r="K36" s="578">
        <f>TRUNC(H36*J36,2)</f>
        <v>0</v>
      </c>
      <c r="L36" s="15"/>
    </row>
    <row r="37" spans="1:12" ht="39.75" customHeight="1">
      <c r="A37" s="690"/>
      <c r="B37" s="691"/>
      <c r="C37" s="711" t="s">
        <v>71</v>
      </c>
      <c r="D37" s="582" t="s">
        <v>240</v>
      </c>
      <c r="E37" s="584" t="s">
        <v>381</v>
      </c>
      <c r="F37" s="577" t="s">
        <v>17</v>
      </c>
      <c r="G37" s="658">
        <v>1</v>
      </c>
      <c r="H37" s="654">
        <f>G37*$D$7</f>
        <v>70</v>
      </c>
      <c r="I37" s="652" t="e">
        <f>VLOOKUP(C37,#REF!,5,0)</f>
        <v>#REF!</v>
      </c>
      <c r="J37" s="865"/>
      <c r="K37" s="578">
        <f>TRUNC(H37*J37,2)</f>
        <v>0</v>
      </c>
      <c r="L37" s="15"/>
    </row>
    <row r="38" spans="1:12" ht="39.75" customHeight="1">
      <c r="A38" s="690"/>
      <c r="B38" s="691"/>
      <c r="C38" s="711" t="s">
        <v>72</v>
      </c>
      <c r="D38" s="582" t="s">
        <v>241</v>
      </c>
      <c r="E38" s="584" t="s">
        <v>377</v>
      </c>
      <c r="F38" s="577" t="s">
        <v>255</v>
      </c>
      <c r="G38" s="658">
        <v>2</v>
      </c>
      <c r="H38" s="654">
        <f>G38*$D$7</f>
        <v>140</v>
      </c>
      <c r="I38" s="652" t="e">
        <f>VLOOKUP(C38,#REF!,5,0)</f>
        <v>#REF!</v>
      </c>
      <c r="J38" s="865"/>
      <c r="K38" s="578">
        <f>TRUNC(H38*J38,2)</f>
        <v>0</v>
      </c>
      <c r="L38" s="15"/>
    </row>
    <row r="39" spans="1:12" ht="39.75" customHeight="1">
      <c r="A39" s="690"/>
      <c r="B39" s="691"/>
      <c r="C39" s="711" t="s">
        <v>73</v>
      </c>
      <c r="D39" s="582" t="s">
        <v>242</v>
      </c>
      <c r="E39" s="584" t="s">
        <v>382</v>
      </c>
      <c r="F39" s="577" t="s">
        <v>17</v>
      </c>
      <c r="G39" s="658">
        <v>1</v>
      </c>
      <c r="H39" s="654">
        <f>G39*$D$7</f>
        <v>70</v>
      </c>
      <c r="I39" s="652" t="e">
        <f>VLOOKUP(C39,#REF!,5,0)</f>
        <v>#REF!</v>
      </c>
      <c r="J39" s="865"/>
      <c r="K39" s="578">
        <f>TRUNC(H39*J39,2)</f>
        <v>0</v>
      </c>
      <c r="L39" s="15"/>
    </row>
    <row r="40" spans="1:12" ht="39.75" customHeight="1">
      <c r="A40" s="689"/>
      <c r="B40" s="697"/>
      <c r="C40" s="715"/>
      <c r="D40" s="594"/>
      <c r="E40" s="593" t="s">
        <v>281</v>
      </c>
      <c r="F40" s="587"/>
      <c r="G40" s="655"/>
      <c r="H40" s="588"/>
      <c r="I40" s="588"/>
      <c r="J40" s="866">
        <f t="shared" si="3"/>
        <v>0</v>
      </c>
      <c r="K40" s="580">
        <f>SUM(K35:K39)</f>
        <v>0</v>
      </c>
      <c r="L40" s="15"/>
    </row>
    <row r="41" spans="1:12" ht="39.75" customHeight="1">
      <c r="A41" s="689"/>
      <c r="B41" s="697"/>
      <c r="C41" s="716"/>
      <c r="D41" s="677">
        <v>5</v>
      </c>
      <c r="E41" s="678" t="s">
        <v>9</v>
      </c>
      <c r="F41" s="679"/>
      <c r="G41" s="680"/>
      <c r="H41" s="683"/>
      <c r="I41" s="683"/>
      <c r="J41" s="867">
        <f t="shared" si="3"/>
        <v>0</v>
      </c>
      <c r="K41" s="682"/>
      <c r="L41" s="15"/>
    </row>
    <row r="42" spans="1:12" ht="39.75" customHeight="1">
      <c r="A42" s="690"/>
      <c r="B42" s="691"/>
      <c r="C42" s="711" t="s">
        <v>74</v>
      </c>
      <c r="D42" s="582" t="s">
        <v>89</v>
      </c>
      <c r="E42" s="584" t="s">
        <v>378</v>
      </c>
      <c r="F42" s="577" t="s">
        <v>255</v>
      </c>
      <c r="G42" s="658">
        <v>2</v>
      </c>
      <c r="H42" s="654">
        <f aca="true" t="shared" si="4" ref="H42:H53">G42*$D$7</f>
        <v>140</v>
      </c>
      <c r="I42" s="652" t="e">
        <f>VLOOKUP(C42,#REF!,5,0)</f>
        <v>#REF!</v>
      </c>
      <c r="J42" s="865"/>
      <c r="K42" s="581">
        <f aca="true" t="shared" si="5" ref="K42:K53">TRUNC(H42*J42,2)</f>
        <v>0</v>
      </c>
      <c r="L42" s="15"/>
    </row>
    <row r="43" spans="1:12" ht="39.75" customHeight="1">
      <c r="A43" s="690"/>
      <c r="B43" s="691"/>
      <c r="C43" s="718" t="s">
        <v>75</v>
      </c>
      <c r="D43" s="582" t="s">
        <v>90</v>
      </c>
      <c r="E43" s="584" t="s">
        <v>379</v>
      </c>
      <c r="F43" s="577" t="s">
        <v>255</v>
      </c>
      <c r="G43" s="658">
        <v>11</v>
      </c>
      <c r="H43" s="654">
        <f t="shared" si="4"/>
        <v>770</v>
      </c>
      <c r="I43" s="652" t="e">
        <f>VLOOKUP(C43,#REF!,5,0)</f>
        <v>#REF!</v>
      </c>
      <c r="J43" s="865"/>
      <c r="K43" s="581">
        <f t="shared" si="5"/>
        <v>0</v>
      </c>
      <c r="L43" s="15"/>
    </row>
    <row r="44" spans="1:12" ht="39.75" customHeight="1">
      <c r="A44" s="690"/>
      <c r="B44" s="691"/>
      <c r="C44" s="718" t="s">
        <v>76</v>
      </c>
      <c r="D44" s="582" t="s">
        <v>91</v>
      </c>
      <c r="E44" s="584" t="s">
        <v>380</v>
      </c>
      <c r="F44" s="577" t="s">
        <v>255</v>
      </c>
      <c r="G44" s="658">
        <v>24</v>
      </c>
      <c r="H44" s="654">
        <f t="shared" si="4"/>
        <v>1680</v>
      </c>
      <c r="I44" s="652" t="e">
        <f>VLOOKUP(C44,#REF!,5,0)</f>
        <v>#REF!</v>
      </c>
      <c r="J44" s="865"/>
      <c r="K44" s="581">
        <f t="shared" si="5"/>
        <v>0</v>
      </c>
      <c r="L44" s="15"/>
    </row>
    <row r="45" spans="1:12" ht="39.75" customHeight="1">
      <c r="A45" s="690"/>
      <c r="B45" s="691"/>
      <c r="C45" s="718" t="s">
        <v>77</v>
      </c>
      <c r="D45" s="582" t="s">
        <v>92</v>
      </c>
      <c r="E45" s="584" t="s">
        <v>383</v>
      </c>
      <c r="F45" s="577" t="s">
        <v>17</v>
      </c>
      <c r="G45" s="658">
        <v>1</v>
      </c>
      <c r="H45" s="654">
        <f t="shared" si="4"/>
        <v>70</v>
      </c>
      <c r="I45" s="652" t="e">
        <f>VLOOKUP(C45,#REF!,5,0)</f>
        <v>#REF!</v>
      </c>
      <c r="J45" s="865"/>
      <c r="K45" s="581">
        <f t="shared" si="5"/>
        <v>0</v>
      </c>
      <c r="L45" s="15"/>
    </row>
    <row r="46" spans="1:12" ht="39.75" customHeight="1">
      <c r="A46" s="690"/>
      <c r="B46" s="691"/>
      <c r="C46" s="718" t="s">
        <v>78</v>
      </c>
      <c r="D46" s="582" t="s">
        <v>93</v>
      </c>
      <c r="E46" s="584" t="s">
        <v>385</v>
      </c>
      <c r="F46" s="577" t="s">
        <v>17</v>
      </c>
      <c r="G46" s="658">
        <v>6</v>
      </c>
      <c r="H46" s="654">
        <f>G46*$D$7</f>
        <v>420</v>
      </c>
      <c r="I46" s="652" t="e">
        <f>VLOOKUP(C46,#REF!,5,0)</f>
        <v>#REF!</v>
      </c>
      <c r="J46" s="865"/>
      <c r="K46" s="581">
        <f t="shared" si="5"/>
        <v>0</v>
      </c>
      <c r="L46" s="15"/>
    </row>
    <row r="47" spans="1:12" ht="39.75" customHeight="1">
      <c r="A47" s="690"/>
      <c r="B47" s="691"/>
      <c r="C47" s="711" t="s">
        <v>79</v>
      </c>
      <c r="D47" s="582" t="s">
        <v>243</v>
      </c>
      <c r="E47" s="584" t="s">
        <v>386</v>
      </c>
      <c r="F47" s="577" t="s">
        <v>17</v>
      </c>
      <c r="G47" s="658">
        <v>2</v>
      </c>
      <c r="H47" s="654">
        <f t="shared" si="4"/>
        <v>140</v>
      </c>
      <c r="I47" s="652" t="e">
        <f>VLOOKUP(C47,#REF!,5,0)</f>
        <v>#REF!</v>
      </c>
      <c r="J47" s="865"/>
      <c r="K47" s="581">
        <f t="shared" si="5"/>
        <v>0</v>
      </c>
      <c r="L47" s="15"/>
    </row>
    <row r="48" spans="1:12" ht="39.75" customHeight="1">
      <c r="A48" s="690"/>
      <c r="B48" s="691"/>
      <c r="C48" s="711" t="s">
        <v>80</v>
      </c>
      <c r="D48" s="582" t="s">
        <v>244</v>
      </c>
      <c r="E48" s="584" t="s">
        <v>384</v>
      </c>
      <c r="F48" s="577" t="s">
        <v>17</v>
      </c>
      <c r="G48" s="658">
        <v>1</v>
      </c>
      <c r="H48" s="654">
        <f t="shared" si="4"/>
        <v>70</v>
      </c>
      <c r="I48" s="652" t="e">
        <f>VLOOKUP(C48,#REF!,5,0)</f>
        <v>#REF!</v>
      </c>
      <c r="J48" s="865"/>
      <c r="K48" s="581">
        <f t="shared" si="5"/>
        <v>0</v>
      </c>
      <c r="L48" s="15"/>
    </row>
    <row r="49" spans="1:12" ht="39.75" customHeight="1">
      <c r="A49" s="690"/>
      <c r="B49" s="691"/>
      <c r="C49" s="718" t="s">
        <v>81</v>
      </c>
      <c r="D49" s="582" t="s">
        <v>245</v>
      </c>
      <c r="E49" s="584" t="s">
        <v>389</v>
      </c>
      <c r="F49" s="577" t="s">
        <v>17</v>
      </c>
      <c r="G49" s="658">
        <v>1</v>
      </c>
      <c r="H49" s="654">
        <f t="shared" si="4"/>
        <v>70</v>
      </c>
      <c r="I49" s="652" t="e">
        <f>VLOOKUP(C49,#REF!,5,0)</f>
        <v>#REF!</v>
      </c>
      <c r="J49" s="865"/>
      <c r="K49" s="581">
        <f t="shared" si="5"/>
        <v>0</v>
      </c>
      <c r="L49" s="15"/>
    </row>
    <row r="50" spans="1:12" ht="39.75" customHeight="1">
      <c r="A50" s="690"/>
      <c r="B50" s="691"/>
      <c r="C50" s="711" t="str">
        <f>C23</f>
        <v>93358</v>
      </c>
      <c r="D50" s="582" t="s">
        <v>246</v>
      </c>
      <c r="E50" s="787" t="s">
        <v>390</v>
      </c>
      <c r="F50" s="577" t="s">
        <v>285</v>
      </c>
      <c r="G50" s="658">
        <v>2.81</v>
      </c>
      <c r="H50" s="654">
        <f t="shared" si="4"/>
        <v>196.70000000000002</v>
      </c>
      <c r="I50" s="652" t="e">
        <f>VLOOKUP(C50,#REF!,5,0)</f>
        <v>#REF!</v>
      </c>
      <c r="J50" s="865"/>
      <c r="K50" s="581">
        <f t="shared" si="5"/>
        <v>0</v>
      </c>
      <c r="L50" s="15"/>
    </row>
    <row r="51" spans="1:12" ht="39.75" customHeight="1">
      <c r="A51" s="690"/>
      <c r="B51" s="696"/>
      <c r="C51" s="717" t="s">
        <v>82</v>
      </c>
      <c r="D51" s="785" t="s">
        <v>247</v>
      </c>
      <c r="E51" s="584" t="s">
        <v>83</v>
      </c>
      <c r="F51" s="786" t="s">
        <v>285</v>
      </c>
      <c r="G51" s="658">
        <v>1.13</v>
      </c>
      <c r="H51" s="654">
        <f t="shared" si="4"/>
        <v>79.1</v>
      </c>
      <c r="I51" s="656">
        <f>VLOOKUP(C51,COMPOSIÇÕES!$L$35:$O$6153,4,0)</f>
        <v>0</v>
      </c>
      <c r="J51" s="865"/>
      <c r="K51" s="581">
        <f t="shared" si="5"/>
        <v>0</v>
      </c>
      <c r="L51" s="15"/>
    </row>
    <row r="52" spans="1:12" ht="39.75" customHeight="1">
      <c r="A52" s="690"/>
      <c r="B52" s="691"/>
      <c r="C52" s="711" t="s">
        <v>289</v>
      </c>
      <c r="D52" s="582" t="s">
        <v>248</v>
      </c>
      <c r="E52" s="788" t="s">
        <v>388</v>
      </c>
      <c r="F52" s="577" t="s">
        <v>17</v>
      </c>
      <c r="G52" s="658">
        <v>1</v>
      </c>
      <c r="H52" s="654">
        <f t="shared" si="4"/>
        <v>70</v>
      </c>
      <c r="I52" s="652" t="e">
        <f>VLOOKUP(C52,#REF!,5,0)</f>
        <v>#REF!</v>
      </c>
      <c r="J52" s="865"/>
      <c r="K52" s="581">
        <f t="shared" si="5"/>
        <v>0</v>
      </c>
      <c r="L52" s="15"/>
    </row>
    <row r="53" spans="1:12" ht="39.75" customHeight="1">
      <c r="A53" s="690"/>
      <c r="B53" s="696"/>
      <c r="C53" s="717" t="s">
        <v>84</v>
      </c>
      <c r="D53" s="582" t="s">
        <v>249</v>
      </c>
      <c r="E53" s="584" t="s">
        <v>417</v>
      </c>
      <c r="F53" s="577" t="s">
        <v>293</v>
      </c>
      <c r="G53" s="658">
        <v>4</v>
      </c>
      <c r="H53" s="654">
        <f t="shared" si="4"/>
        <v>280</v>
      </c>
      <c r="I53" s="656">
        <f>VLOOKUP(C53,COMPOSIÇÕES!$L$35:$O$6153,4,0)</f>
        <v>0</v>
      </c>
      <c r="J53" s="865"/>
      <c r="K53" s="581">
        <f t="shared" si="5"/>
        <v>0</v>
      </c>
      <c r="L53" s="15"/>
    </row>
    <row r="54" spans="1:12" ht="39.75" customHeight="1">
      <c r="A54" s="690"/>
      <c r="B54" s="691"/>
      <c r="C54" s="711" t="s">
        <v>85</v>
      </c>
      <c r="D54" s="582" t="s">
        <v>250</v>
      </c>
      <c r="E54" s="584" t="s">
        <v>387</v>
      </c>
      <c r="F54" s="577" t="s">
        <v>17</v>
      </c>
      <c r="G54" s="658">
        <v>1</v>
      </c>
      <c r="H54" s="654">
        <f>G54*$D$7</f>
        <v>70</v>
      </c>
      <c r="I54" s="652" t="e">
        <f>VLOOKUP(C54,#REF!,5,0)</f>
        <v>#REF!</v>
      </c>
      <c r="J54" s="865"/>
      <c r="K54" s="581">
        <f>TRUNC(H54*J54,2)</f>
        <v>0</v>
      </c>
      <c r="L54" s="15"/>
    </row>
    <row r="55" spans="1:12" ht="39.75" customHeight="1">
      <c r="A55" s="690"/>
      <c r="B55" s="696"/>
      <c r="C55" s="717" t="str">
        <f>COMPOSIÇÕES!B106</f>
        <v>AGEHAB.0081</v>
      </c>
      <c r="D55" s="582" t="s">
        <v>326</v>
      </c>
      <c r="E55" s="584" t="s">
        <v>318</v>
      </c>
      <c r="F55" s="577" t="s">
        <v>293</v>
      </c>
      <c r="G55" s="658">
        <v>1</v>
      </c>
      <c r="H55" s="654">
        <f>G55*$D$7</f>
        <v>70</v>
      </c>
      <c r="I55" s="656">
        <f>VLOOKUP(C55,COMPOSIÇÕES!$L$35:$O$6153,4,0)</f>
        <v>0</v>
      </c>
      <c r="J55" s="865"/>
      <c r="K55" s="581">
        <f>TRUNC(H55*J55,2)</f>
        <v>0</v>
      </c>
      <c r="L55" s="15"/>
    </row>
    <row r="56" spans="1:12" ht="39.75" customHeight="1">
      <c r="A56" s="690"/>
      <c r="B56" s="696"/>
      <c r="C56" s="739" t="str">
        <f>COMPOSIÇÕES!B115</f>
        <v>AGEHAB.0082</v>
      </c>
      <c r="D56" s="582" t="s">
        <v>414</v>
      </c>
      <c r="E56" s="584" t="s">
        <v>413</v>
      </c>
      <c r="F56" s="577" t="s">
        <v>293</v>
      </c>
      <c r="G56" s="658">
        <v>1</v>
      </c>
      <c r="H56" s="654">
        <f>G56*$D$7</f>
        <v>70</v>
      </c>
      <c r="I56" s="656">
        <f>VLOOKUP(C56,COMPOSIÇÕES!$L$35:$O$6153,4,0)</f>
        <v>0</v>
      </c>
      <c r="J56" s="865"/>
      <c r="K56" s="581">
        <f>TRUNC(H56*J56,2)</f>
        <v>0</v>
      </c>
      <c r="L56" s="15"/>
    </row>
    <row r="57" spans="1:12" ht="39.75" customHeight="1">
      <c r="A57" s="689"/>
      <c r="B57" s="697"/>
      <c r="C57" s="739" t="s">
        <v>320</v>
      </c>
      <c r="D57" s="582" t="s">
        <v>430</v>
      </c>
      <c r="E57" s="771" t="s">
        <v>321</v>
      </c>
      <c r="F57" s="577" t="s">
        <v>293</v>
      </c>
      <c r="G57" s="658">
        <v>1</v>
      </c>
      <c r="H57" s="654">
        <f>(G57*$D$7)</f>
        <v>70</v>
      </c>
      <c r="I57" s="656">
        <f>VLOOKUP(C57,COMPOSIÇÕES!$L$35:$O$6153,4,0)</f>
        <v>0</v>
      </c>
      <c r="J57" s="865"/>
      <c r="K57" s="581">
        <f>TRUNC(H57*J57,2)</f>
        <v>0</v>
      </c>
      <c r="L57" s="753"/>
    </row>
    <row r="58" spans="1:12" ht="39.75" customHeight="1">
      <c r="A58" s="689"/>
      <c r="B58" s="697"/>
      <c r="C58" s="717" t="s">
        <v>322</v>
      </c>
      <c r="D58" s="582" t="s">
        <v>431</v>
      </c>
      <c r="E58" s="771" t="s">
        <v>323</v>
      </c>
      <c r="F58" s="577" t="s">
        <v>293</v>
      </c>
      <c r="G58" s="658">
        <v>1</v>
      </c>
      <c r="H58" s="654">
        <f>(G58*$D$7)</f>
        <v>70</v>
      </c>
      <c r="I58" s="656">
        <f>VLOOKUP(C58,COMPOSIÇÕES!$L$35:$O$6153,4,0)</f>
        <v>0</v>
      </c>
      <c r="J58" s="865"/>
      <c r="K58" s="581">
        <f>TRUNC(H58*J58,2)</f>
        <v>0</v>
      </c>
      <c r="L58" s="753"/>
    </row>
    <row r="59" spans="1:12" ht="39.75" customHeight="1">
      <c r="A59" s="689"/>
      <c r="B59" s="697"/>
      <c r="C59" s="715"/>
      <c r="D59" s="769"/>
      <c r="E59" s="593" t="s">
        <v>325</v>
      </c>
      <c r="F59" s="770"/>
      <c r="G59" s="623"/>
      <c r="H59" s="589"/>
      <c r="I59" s="589"/>
      <c r="J59" s="868"/>
      <c r="K59" s="580">
        <f>SUM(K42:K58)</f>
        <v>0</v>
      </c>
      <c r="L59" s="15"/>
    </row>
    <row r="60" spans="1:12" ht="39.75" customHeight="1">
      <c r="A60" s="689"/>
      <c r="B60" s="697"/>
      <c r="C60" s="716"/>
      <c r="D60" s="677">
        <v>6</v>
      </c>
      <c r="E60" s="678" t="s">
        <v>10</v>
      </c>
      <c r="F60" s="679"/>
      <c r="G60" s="680"/>
      <c r="H60" s="683"/>
      <c r="I60" s="683"/>
      <c r="J60" s="867">
        <f>ROUND(B60*$B$11,2)</f>
        <v>0</v>
      </c>
      <c r="K60" s="682"/>
      <c r="L60" s="15"/>
    </row>
    <row r="61" spans="1:12" ht="39.75" customHeight="1">
      <c r="A61" s="689"/>
      <c r="B61" s="691"/>
      <c r="C61" s="711" t="s">
        <v>295</v>
      </c>
      <c r="D61" s="598" t="s">
        <v>94</v>
      </c>
      <c r="E61" s="584" t="s">
        <v>398</v>
      </c>
      <c r="F61" s="577" t="s">
        <v>269</v>
      </c>
      <c r="G61" s="656">
        <v>57</v>
      </c>
      <c r="H61" s="654">
        <f>G61*$D$7</f>
        <v>3990</v>
      </c>
      <c r="I61" s="652" t="e">
        <f>VLOOKUP(C61,#REF!,5,0)</f>
        <v>#REF!</v>
      </c>
      <c r="J61" s="865"/>
      <c r="K61" s="581">
        <f>TRUNC(H61*J61,2)</f>
        <v>0</v>
      </c>
      <c r="L61" s="15"/>
    </row>
    <row r="62" spans="1:15" ht="39.75" customHeight="1">
      <c r="A62" s="689"/>
      <c r="B62" s="691"/>
      <c r="C62" s="711" t="s">
        <v>292</v>
      </c>
      <c r="D62" s="582" t="s">
        <v>95</v>
      </c>
      <c r="E62" s="584" t="s">
        <v>400</v>
      </c>
      <c r="F62" s="577" t="s">
        <v>269</v>
      </c>
      <c r="G62" s="656">
        <v>24.9</v>
      </c>
      <c r="H62" s="654">
        <f>G62*$D$7</f>
        <v>1743</v>
      </c>
      <c r="I62" s="652" t="e">
        <f>VLOOKUP(C62,#REF!,5,0)</f>
        <v>#REF!</v>
      </c>
      <c r="J62" s="865"/>
      <c r="K62" s="581">
        <f>TRUNC(H62*J62,2)</f>
        <v>0</v>
      </c>
      <c r="L62" s="15"/>
      <c r="M62" s="615"/>
      <c r="N62" s="615"/>
      <c r="O62" s="615"/>
    </row>
    <row r="63" spans="1:15" ht="39.75" customHeight="1">
      <c r="A63" s="630"/>
      <c r="B63" s="710"/>
      <c r="C63" s="596"/>
      <c r="D63" s="595"/>
      <c r="E63" s="597" t="s">
        <v>282</v>
      </c>
      <c r="F63" s="590"/>
      <c r="G63" s="659"/>
      <c r="H63" s="591"/>
      <c r="I63" s="591"/>
      <c r="J63" s="592"/>
      <c r="K63" s="585">
        <f>SUM(K61:K62)</f>
        <v>0</v>
      </c>
      <c r="L63" s="15"/>
      <c r="M63" s="1042"/>
      <c r="N63" s="1042"/>
      <c r="O63" s="616"/>
    </row>
    <row r="64" spans="2:15" ht="32.25" customHeight="1">
      <c r="B64" s="571"/>
      <c r="C64" s="672" t="s">
        <v>296</v>
      </c>
      <c r="D64" s="673"/>
      <c r="E64" s="674"/>
      <c r="F64" s="675"/>
      <c r="G64" s="675"/>
      <c r="H64" s="676"/>
      <c r="I64" s="676"/>
      <c r="J64" s="706"/>
      <c r="K64" s="707">
        <f>ROUND(K63+K40+K33+K30+K21+K59,2)</f>
        <v>0</v>
      </c>
      <c r="L64" s="515"/>
      <c r="M64" s="601"/>
      <c r="N64" s="601"/>
      <c r="O64" s="601"/>
    </row>
    <row r="65" spans="1:12" ht="6.75" customHeight="1">
      <c r="A65" s="47"/>
      <c r="B65" s="617"/>
      <c r="C65" s="92"/>
      <c r="D65" s="37"/>
      <c r="E65" s="47"/>
      <c r="F65" s="37"/>
      <c r="G65" s="37"/>
      <c r="H65" s="47"/>
      <c r="I65" s="47"/>
      <c r="J65" s="47"/>
      <c r="K65" s="47"/>
      <c r="L65" s="618"/>
    </row>
    <row r="66" spans="1:12" ht="20.25" customHeight="1">
      <c r="A66" s="619"/>
      <c r="B66" s="620"/>
      <c r="C66" s="876"/>
      <c r="D66" s="877"/>
      <c r="E66" s="878"/>
      <c r="F66" s="877"/>
      <c r="G66" s="877"/>
      <c r="H66" s="878"/>
      <c r="I66" s="878"/>
      <c r="J66" s="878"/>
      <c r="K66" s="879"/>
      <c r="L66" s="621"/>
    </row>
    <row r="67" spans="1:11" ht="24" customHeight="1">
      <c r="A67" s="619"/>
      <c r="B67" s="620"/>
      <c r="C67" s="876"/>
      <c r="D67" s="877"/>
      <c r="E67" s="878"/>
      <c r="F67" s="877"/>
      <c r="G67" s="877"/>
      <c r="H67" s="878"/>
      <c r="I67" s="878"/>
      <c r="J67" s="878"/>
      <c r="K67" s="880"/>
    </row>
    <row r="68" spans="1:11" ht="7.5" customHeight="1">
      <c r="A68" s="622"/>
      <c r="C68" s="869"/>
      <c r="D68" s="881"/>
      <c r="E68" s="882"/>
      <c r="F68" s="883"/>
      <c r="G68" s="883"/>
      <c r="H68" s="884"/>
      <c r="I68" s="884"/>
      <c r="J68" s="884"/>
      <c r="K68" s="885"/>
    </row>
    <row r="69" spans="1:11" ht="15">
      <c r="A69" s="622"/>
      <c r="C69" s="869"/>
      <c r="D69" s="886"/>
      <c r="E69" s="887"/>
      <c r="F69" s="888"/>
      <c r="G69" s="888"/>
      <c r="H69" s="884"/>
      <c r="I69" s="884"/>
      <c r="J69" s="884"/>
      <c r="K69" s="885"/>
    </row>
    <row r="70" spans="1:11" ht="15">
      <c r="A70" s="622"/>
      <c r="C70" s="869"/>
      <c r="D70" s="886"/>
      <c r="E70" s="889"/>
      <c r="F70" s="888"/>
      <c r="G70" s="888"/>
      <c r="H70" s="890"/>
      <c r="I70" s="890"/>
      <c r="J70" s="890"/>
      <c r="K70" s="885"/>
    </row>
    <row r="71" spans="1:11" ht="15">
      <c r="A71" s="625"/>
      <c r="C71" s="869"/>
      <c r="D71" s="886"/>
      <c r="E71" s="889"/>
      <c r="F71" s="888"/>
      <c r="G71" s="888"/>
      <c r="H71" s="891"/>
      <c r="I71" s="891"/>
      <c r="J71" s="885"/>
      <c r="K71" s="885"/>
    </row>
    <row r="72" spans="1:12" ht="15">
      <c r="A72" s="625"/>
      <c r="D72" s="37"/>
      <c r="E72" s="8"/>
      <c r="F72" s="626"/>
      <c r="G72" s="626"/>
      <c r="H72" s="625"/>
      <c r="I72" s="625"/>
      <c r="J72" s="627"/>
      <c r="K72" s="545"/>
      <c r="L72" s="13"/>
    </row>
    <row r="73" spans="1:12" ht="15">
      <c r="A73" s="625"/>
      <c r="D73" s="37"/>
      <c r="E73" s="8"/>
      <c r="F73" s="626"/>
      <c r="G73" s="626"/>
      <c r="H73" s="625"/>
      <c r="I73" s="625"/>
      <c r="J73" s="627"/>
      <c r="K73" s="545"/>
      <c r="L73" s="13"/>
    </row>
    <row r="74" spans="1:12" ht="15">
      <c r="A74" s="625"/>
      <c r="D74" s="37"/>
      <c r="E74" s="8"/>
      <c r="F74" s="626"/>
      <c r="G74" s="626"/>
      <c r="H74" s="625"/>
      <c r="I74" s="625"/>
      <c r="J74" s="627"/>
      <c r="K74" s="628"/>
      <c r="L74" s="13"/>
    </row>
    <row r="75" spans="1:12" ht="15">
      <c r="A75" s="625"/>
      <c r="D75" s="37"/>
      <c r="E75" s="8"/>
      <c r="F75" s="626"/>
      <c r="G75" s="626"/>
      <c r="H75" s="625"/>
      <c r="I75" s="625"/>
      <c r="J75" s="627"/>
      <c r="K75" s="545"/>
      <c r="L75" s="13"/>
    </row>
    <row r="76" spans="1:12" ht="15">
      <c r="A76" s="625"/>
      <c r="D76" s="37"/>
      <c r="E76" s="8"/>
      <c r="F76" s="626"/>
      <c r="G76" s="626"/>
      <c r="H76" s="625"/>
      <c r="I76" s="625"/>
      <c r="J76" s="545"/>
      <c r="K76" s="629"/>
      <c r="L76" s="651"/>
    </row>
    <row r="77" spans="1:12" ht="15">
      <c r="A77" s="625"/>
      <c r="D77" s="37"/>
      <c r="E77" s="8"/>
      <c r="F77" s="626"/>
      <c r="G77" s="626"/>
      <c r="H77" s="625"/>
      <c r="I77" s="625"/>
      <c r="L77" s="13"/>
    </row>
    <row r="78" spans="1:12" ht="15">
      <c r="A78" s="625"/>
      <c r="D78" s="37"/>
      <c r="E78" s="8"/>
      <c r="F78" s="626"/>
      <c r="G78" s="626"/>
      <c r="H78" s="625"/>
      <c r="I78" s="625"/>
      <c r="J78" s="545"/>
      <c r="K78" s="545"/>
      <c r="L78" s="13"/>
    </row>
    <row r="79" spans="1:12" ht="15">
      <c r="A79" s="625"/>
      <c r="D79" s="37"/>
      <c r="E79" s="8"/>
      <c r="F79" s="626"/>
      <c r="G79" s="626"/>
      <c r="H79" s="625"/>
      <c r="I79" s="625"/>
      <c r="J79" s="545"/>
      <c r="K79" s="545"/>
      <c r="L79" s="13"/>
    </row>
    <row r="80" spans="1:12" ht="15">
      <c r="A80" s="625"/>
      <c r="D80" s="37"/>
      <c r="E80" s="8"/>
      <c r="F80" s="626"/>
      <c r="G80" s="626"/>
      <c r="H80" s="625"/>
      <c r="I80" s="625"/>
      <c r="J80" s="545"/>
      <c r="K80" s="545"/>
      <c r="L80" s="13"/>
    </row>
    <row r="81" spans="1:12" ht="15">
      <c r="A81" s="625"/>
      <c r="D81" s="37"/>
      <c r="E81" s="8"/>
      <c r="F81" s="626"/>
      <c r="G81" s="626"/>
      <c r="H81" s="625"/>
      <c r="I81" s="625"/>
      <c r="J81" s="545"/>
      <c r="K81" s="545"/>
      <c r="L81" s="13"/>
    </row>
    <row r="82" spans="1:12" ht="15">
      <c r="A82" s="625"/>
      <c r="D82" s="37"/>
      <c r="E82" s="8"/>
      <c r="F82" s="626"/>
      <c r="G82" s="626"/>
      <c r="H82" s="625"/>
      <c r="I82" s="625"/>
      <c r="J82" s="545"/>
      <c r="K82" s="545"/>
      <c r="L82" s="13"/>
    </row>
    <row r="83" spans="1:12" ht="15">
      <c r="A83" s="625"/>
      <c r="D83" s="37"/>
      <c r="E83" s="8"/>
      <c r="F83" s="626"/>
      <c r="G83" s="626"/>
      <c r="H83" s="625"/>
      <c r="I83" s="625"/>
      <c r="J83" s="545"/>
      <c r="K83" s="545"/>
      <c r="L83" s="13"/>
    </row>
    <row r="84" spans="1:12" ht="15">
      <c r="A84" s="625"/>
      <c r="D84" s="37"/>
      <c r="E84" s="8"/>
      <c r="F84" s="626"/>
      <c r="G84" s="626"/>
      <c r="H84" s="625"/>
      <c r="I84" s="625"/>
      <c r="J84" s="545"/>
      <c r="K84" s="545"/>
      <c r="L84" s="13"/>
    </row>
    <row r="85" spans="1:12" ht="15">
      <c r="A85" s="625"/>
      <c r="D85" s="37"/>
      <c r="E85" s="8"/>
      <c r="F85" s="626"/>
      <c r="G85" s="626"/>
      <c r="H85" s="625"/>
      <c r="I85" s="625"/>
      <c r="J85" s="545"/>
      <c r="K85" s="545"/>
      <c r="L85" s="13"/>
    </row>
    <row r="86" spans="1:12" ht="15">
      <c r="A86" s="625"/>
      <c r="D86" s="37"/>
      <c r="E86" s="8"/>
      <c r="F86" s="626"/>
      <c r="G86" s="626"/>
      <c r="H86" s="625"/>
      <c r="I86" s="625"/>
      <c r="J86" s="545"/>
      <c r="K86" s="545"/>
      <c r="L86" s="13"/>
    </row>
    <row r="87" spans="1:12" ht="15">
      <c r="A87" s="625"/>
      <c r="D87" s="37"/>
      <c r="E87" s="8"/>
      <c r="F87" s="626"/>
      <c r="G87" s="626"/>
      <c r="H87" s="625"/>
      <c r="I87" s="625"/>
      <c r="J87" s="545"/>
      <c r="K87" s="545"/>
      <c r="L87" s="13"/>
    </row>
    <row r="88" spans="1:12" ht="15">
      <c r="A88" s="625"/>
      <c r="D88" s="37"/>
      <c r="E88" s="8"/>
      <c r="F88" s="626"/>
      <c r="G88" s="626"/>
      <c r="H88" s="625"/>
      <c r="I88" s="625"/>
      <c r="J88" s="545"/>
      <c r="K88" s="545"/>
      <c r="L88" s="13"/>
    </row>
    <row r="89" spans="1:12" ht="15">
      <c r="A89" s="625"/>
      <c r="D89" s="37"/>
      <c r="E89" s="8"/>
      <c r="F89" s="626"/>
      <c r="G89" s="626"/>
      <c r="H89" s="625"/>
      <c r="I89" s="625"/>
      <c r="J89" s="545"/>
      <c r="K89" s="545"/>
      <c r="L89" s="13"/>
    </row>
    <row r="90" spans="1:12" ht="15">
      <c r="A90" s="625"/>
      <c r="D90" s="37"/>
      <c r="E90" s="8"/>
      <c r="F90" s="626"/>
      <c r="G90" s="626"/>
      <c r="H90" s="625"/>
      <c r="I90" s="625"/>
      <c r="J90" s="545"/>
      <c r="K90" s="545"/>
      <c r="L90" s="13"/>
    </row>
    <row r="91" spans="1:12" ht="15">
      <c r="A91" s="625"/>
      <c r="D91" s="37"/>
      <c r="E91" s="8"/>
      <c r="F91" s="626"/>
      <c r="G91" s="626"/>
      <c r="H91" s="625"/>
      <c r="I91" s="625"/>
      <c r="J91" s="545"/>
      <c r="K91" s="545"/>
      <c r="L91" s="13"/>
    </row>
    <row r="92" spans="1:12" ht="15">
      <c r="A92" s="625"/>
      <c r="D92" s="37"/>
      <c r="E92" s="8"/>
      <c r="F92" s="626"/>
      <c r="G92" s="626"/>
      <c r="H92" s="625"/>
      <c r="I92" s="625"/>
      <c r="J92" s="545"/>
      <c r="K92" s="545"/>
      <c r="L92" s="13"/>
    </row>
    <row r="93" spans="1:12" ht="15">
      <c r="A93" s="625"/>
      <c r="D93" s="37"/>
      <c r="E93" s="8"/>
      <c r="F93" s="626"/>
      <c r="G93" s="626"/>
      <c r="H93" s="625"/>
      <c r="I93" s="625"/>
      <c r="J93" s="545"/>
      <c r="K93" s="545"/>
      <c r="L93" s="13"/>
    </row>
    <row r="94" spans="1:12" ht="15">
      <c r="A94" s="625"/>
      <c r="D94" s="37"/>
      <c r="E94" s="8"/>
      <c r="F94" s="626"/>
      <c r="G94" s="626"/>
      <c r="H94" s="625"/>
      <c r="I94" s="625"/>
      <c r="J94" s="545"/>
      <c r="K94" s="545"/>
      <c r="L94" s="13"/>
    </row>
    <row r="95" spans="1:12" ht="15">
      <c r="A95" s="625"/>
      <c r="D95" s="37"/>
      <c r="E95" s="8"/>
      <c r="F95" s="626"/>
      <c r="G95" s="626"/>
      <c r="H95" s="625"/>
      <c r="I95" s="625"/>
      <c r="J95" s="545"/>
      <c r="K95" s="545"/>
      <c r="L95" s="13"/>
    </row>
    <row r="96" spans="1:12" ht="15">
      <c r="A96" s="625"/>
      <c r="D96" s="37"/>
      <c r="E96" s="8"/>
      <c r="F96" s="626"/>
      <c r="G96" s="626"/>
      <c r="H96" s="625"/>
      <c r="I96" s="625"/>
      <c r="J96" s="545"/>
      <c r="K96" s="545"/>
      <c r="L96" s="13"/>
    </row>
    <row r="97" spans="1:12" ht="15">
      <c r="A97" s="625"/>
      <c r="D97" s="37"/>
      <c r="E97" s="8"/>
      <c r="F97" s="626"/>
      <c r="G97" s="626"/>
      <c r="H97" s="625"/>
      <c r="I97" s="625"/>
      <c r="J97" s="545"/>
      <c r="K97" s="545"/>
      <c r="L97" s="13"/>
    </row>
    <row r="98" spans="1:12" ht="15">
      <c r="A98" s="625"/>
      <c r="D98" s="37"/>
      <c r="E98" s="8"/>
      <c r="F98" s="626"/>
      <c r="G98" s="626"/>
      <c r="H98" s="625"/>
      <c r="I98" s="625"/>
      <c r="J98" s="545"/>
      <c r="K98" s="545"/>
      <c r="L98" s="13"/>
    </row>
    <row r="99" spans="1:12" ht="15">
      <c r="A99" s="625"/>
      <c r="D99" s="37"/>
      <c r="E99" s="8"/>
      <c r="F99" s="626"/>
      <c r="G99" s="626"/>
      <c r="H99" s="625"/>
      <c r="I99" s="625"/>
      <c r="J99" s="545"/>
      <c r="K99" s="545"/>
      <c r="L99" s="13"/>
    </row>
    <row r="100" spans="1:12" ht="15">
      <c r="A100" s="625"/>
      <c r="D100" s="37"/>
      <c r="E100" s="8"/>
      <c r="F100" s="626"/>
      <c r="G100" s="626"/>
      <c r="H100" s="625"/>
      <c r="I100" s="625"/>
      <c r="J100" s="545"/>
      <c r="K100" s="545"/>
      <c r="L100" s="13"/>
    </row>
    <row r="101" spans="1:12" ht="15">
      <c r="A101" s="625"/>
      <c r="D101" s="37"/>
      <c r="E101" s="8"/>
      <c r="F101" s="626"/>
      <c r="G101" s="626"/>
      <c r="H101" s="625"/>
      <c r="I101" s="625"/>
      <c r="J101" s="545"/>
      <c r="K101" s="545"/>
      <c r="L101" s="13"/>
    </row>
    <row r="102" spans="1:12" ht="15">
      <c r="A102" s="625"/>
      <c r="D102" s="37"/>
      <c r="E102" s="8"/>
      <c r="F102" s="626"/>
      <c r="G102" s="626"/>
      <c r="H102" s="625"/>
      <c r="I102" s="625"/>
      <c r="J102" s="545"/>
      <c r="K102" s="545"/>
      <c r="L102" s="13"/>
    </row>
    <row r="103" spans="1:12" ht="15">
      <c r="A103" s="625"/>
      <c r="D103" s="37"/>
      <c r="E103" s="8"/>
      <c r="F103" s="626"/>
      <c r="G103" s="626"/>
      <c r="H103" s="625"/>
      <c r="I103" s="625"/>
      <c r="J103" s="545"/>
      <c r="K103" s="545"/>
      <c r="L103" s="13"/>
    </row>
    <row r="104" spans="1:12" ht="15">
      <c r="A104" s="625"/>
      <c r="D104" s="37"/>
      <c r="E104" s="8"/>
      <c r="F104" s="626"/>
      <c r="G104" s="626"/>
      <c r="H104" s="625"/>
      <c r="I104" s="625"/>
      <c r="J104" s="545"/>
      <c r="K104" s="545"/>
      <c r="L104" s="13"/>
    </row>
    <row r="105" spans="1:12" ht="15">
      <c r="A105" s="625"/>
      <c r="D105" s="37"/>
      <c r="E105" s="8"/>
      <c r="F105" s="626"/>
      <c r="G105" s="626"/>
      <c r="H105" s="625"/>
      <c r="I105" s="625"/>
      <c r="J105" s="545"/>
      <c r="K105" s="545"/>
      <c r="L105" s="13"/>
    </row>
    <row r="106" spans="1:12" ht="15">
      <c r="A106" s="625"/>
      <c r="D106" s="37"/>
      <c r="E106" s="8"/>
      <c r="F106" s="626"/>
      <c r="G106" s="626"/>
      <c r="H106" s="625"/>
      <c r="I106" s="625"/>
      <c r="J106" s="545"/>
      <c r="K106" s="545"/>
      <c r="L106" s="13"/>
    </row>
    <row r="107" spans="1:12" ht="15">
      <c r="A107" s="625"/>
      <c r="D107" s="37"/>
      <c r="E107" s="8"/>
      <c r="F107" s="626"/>
      <c r="G107" s="626"/>
      <c r="H107" s="625"/>
      <c r="I107" s="625"/>
      <c r="J107" s="545"/>
      <c r="K107" s="545"/>
      <c r="L107" s="13"/>
    </row>
    <row r="108" spans="1:12" ht="15">
      <c r="A108" s="625"/>
      <c r="D108" s="37"/>
      <c r="E108" s="8"/>
      <c r="F108" s="626"/>
      <c r="G108" s="626"/>
      <c r="H108" s="625"/>
      <c r="I108" s="625"/>
      <c r="J108" s="545"/>
      <c r="K108" s="545"/>
      <c r="L108" s="13"/>
    </row>
    <row r="109" spans="1:12" ht="15">
      <c r="A109" s="625"/>
      <c r="D109" s="37"/>
      <c r="E109" s="8"/>
      <c r="F109" s="626"/>
      <c r="G109" s="626"/>
      <c r="H109" s="625"/>
      <c r="I109" s="625"/>
      <c r="J109" s="545"/>
      <c r="K109" s="545"/>
      <c r="L109" s="13"/>
    </row>
    <row r="110" spans="1:12" ht="15">
      <c r="A110" s="625"/>
      <c r="D110" s="37"/>
      <c r="E110" s="8"/>
      <c r="F110" s="626"/>
      <c r="G110" s="626"/>
      <c r="H110" s="625"/>
      <c r="I110" s="625"/>
      <c r="J110" s="545"/>
      <c r="K110" s="545"/>
      <c r="L110" s="13"/>
    </row>
    <row r="111" spans="1:12" ht="15">
      <c r="A111" s="625"/>
      <c r="D111" s="37"/>
      <c r="E111" s="8"/>
      <c r="F111" s="626"/>
      <c r="G111" s="626"/>
      <c r="H111" s="625"/>
      <c r="I111" s="625"/>
      <c r="J111" s="545"/>
      <c r="K111" s="545"/>
      <c r="L111" s="13"/>
    </row>
    <row r="112" spans="1:12" ht="15">
      <c r="A112" s="625"/>
      <c r="D112" s="37"/>
      <c r="E112" s="8"/>
      <c r="F112" s="626"/>
      <c r="G112" s="626"/>
      <c r="H112" s="625"/>
      <c r="I112" s="625"/>
      <c r="J112" s="545"/>
      <c r="K112" s="545"/>
      <c r="L112" s="13"/>
    </row>
    <row r="113" spans="1:12" ht="15">
      <c r="A113" s="625"/>
      <c r="D113" s="37"/>
      <c r="E113" s="8"/>
      <c r="F113" s="626"/>
      <c r="G113" s="626"/>
      <c r="H113" s="625"/>
      <c r="I113" s="625"/>
      <c r="J113" s="545"/>
      <c r="K113" s="545"/>
      <c r="L113" s="13"/>
    </row>
    <row r="114" spans="1:12" ht="15">
      <c r="A114" s="625"/>
      <c r="D114" s="37"/>
      <c r="E114" s="8"/>
      <c r="F114" s="626"/>
      <c r="G114" s="626"/>
      <c r="H114" s="625"/>
      <c r="I114" s="625"/>
      <c r="J114" s="545"/>
      <c r="K114" s="545"/>
      <c r="L114" s="13"/>
    </row>
    <row r="115" spans="1:12" ht="15">
      <c r="A115" s="625"/>
      <c r="D115" s="37"/>
      <c r="E115" s="8"/>
      <c r="F115" s="626"/>
      <c r="G115" s="626"/>
      <c r="H115" s="625"/>
      <c r="I115" s="625"/>
      <c r="J115" s="545"/>
      <c r="K115" s="545"/>
      <c r="L115" s="13"/>
    </row>
    <row r="116" spans="1:12" ht="15">
      <c r="A116" s="625"/>
      <c r="D116" s="37"/>
      <c r="E116" s="8"/>
      <c r="F116" s="626"/>
      <c r="G116" s="626"/>
      <c r="H116" s="625"/>
      <c r="I116" s="625"/>
      <c r="J116" s="545"/>
      <c r="K116" s="545"/>
      <c r="L116" s="13"/>
    </row>
    <row r="117" spans="1:12" ht="15">
      <c r="A117" s="625"/>
      <c r="D117" s="37"/>
      <c r="E117" s="8"/>
      <c r="F117" s="626"/>
      <c r="G117" s="626"/>
      <c r="H117" s="625"/>
      <c r="I117" s="625"/>
      <c r="J117" s="545"/>
      <c r="K117" s="545"/>
      <c r="L117" s="13"/>
    </row>
    <row r="118" spans="1:12" ht="15">
      <c r="A118" s="625"/>
      <c r="D118" s="37"/>
      <c r="E118" s="8"/>
      <c r="F118" s="626"/>
      <c r="G118" s="626"/>
      <c r="H118" s="625"/>
      <c r="I118" s="625"/>
      <c r="J118" s="545"/>
      <c r="K118" s="545"/>
      <c r="L118" s="13"/>
    </row>
    <row r="119" spans="1:12" ht="15">
      <c r="A119" s="625"/>
      <c r="D119" s="37"/>
      <c r="E119" s="8"/>
      <c r="F119" s="626"/>
      <c r="G119" s="626"/>
      <c r="H119" s="625"/>
      <c r="I119" s="625"/>
      <c r="J119" s="545"/>
      <c r="K119" s="545"/>
      <c r="L119" s="13"/>
    </row>
    <row r="120" spans="1:12" ht="15">
      <c r="A120" s="625"/>
      <c r="D120" s="37"/>
      <c r="E120" s="8"/>
      <c r="F120" s="626"/>
      <c r="G120" s="626"/>
      <c r="H120" s="625"/>
      <c r="I120" s="625"/>
      <c r="J120" s="545"/>
      <c r="K120" s="545"/>
      <c r="L120" s="13"/>
    </row>
    <row r="121" spans="1:12" ht="15">
      <c r="A121" s="625"/>
      <c r="D121" s="37"/>
      <c r="E121" s="8"/>
      <c r="F121" s="626"/>
      <c r="G121" s="626"/>
      <c r="H121" s="625"/>
      <c r="I121" s="625"/>
      <c r="J121" s="545"/>
      <c r="K121" s="545"/>
      <c r="L121" s="13"/>
    </row>
    <row r="122" spans="1:12" ht="15">
      <c r="A122" s="625"/>
      <c r="D122" s="37"/>
      <c r="E122" s="8"/>
      <c r="F122" s="626"/>
      <c r="G122" s="626"/>
      <c r="H122" s="625"/>
      <c r="I122" s="625"/>
      <c r="J122" s="545"/>
      <c r="K122" s="545"/>
      <c r="L122" s="13"/>
    </row>
    <row r="123" spans="1:12" ht="15">
      <c r="A123" s="625"/>
      <c r="D123" s="37"/>
      <c r="E123" s="8"/>
      <c r="F123" s="626"/>
      <c r="G123" s="626"/>
      <c r="H123" s="625"/>
      <c r="I123" s="625"/>
      <c r="J123" s="545"/>
      <c r="K123" s="545"/>
      <c r="L123" s="13"/>
    </row>
    <row r="124" spans="1:12" ht="15">
      <c r="A124" s="625"/>
      <c r="D124" s="37"/>
      <c r="E124" s="8"/>
      <c r="F124" s="626"/>
      <c r="G124" s="626"/>
      <c r="H124" s="625"/>
      <c r="I124" s="625"/>
      <c r="J124" s="545"/>
      <c r="K124" s="545"/>
      <c r="L124" s="13"/>
    </row>
    <row r="125" spans="1:12" ht="15">
      <c r="A125" s="625"/>
      <c r="D125" s="37"/>
      <c r="E125" s="8"/>
      <c r="F125" s="626"/>
      <c r="G125" s="626"/>
      <c r="H125" s="625"/>
      <c r="I125" s="625"/>
      <c r="J125" s="545"/>
      <c r="K125" s="545"/>
      <c r="L125" s="13"/>
    </row>
    <row r="126" spans="1:12" ht="15">
      <c r="A126" s="625"/>
      <c r="D126" s="37"/>
      <c r="E126" s="8"/>
      <c r="F126" s="626"/>
      <c r="G126" s="626"/>
      <c r="H126" s="625"/>
      <c r="I126" s="625"/>
      <c r="J126" s="545"/>
      <c r="K126" s="545"/>
      <c r="L126" s="13"/>
    </row>
    <row r="127" spans="1:12" ht="15">
      <c r="A127" s="625"/>
      <c r="D127" s="37"/>
      <c r="E127" s="8"/>
      <c r="F127" s="626"/>
      <c r="G127" s="626"/>
      <c r="H127" s="625"/>
      <c r="I127" s="625"/>
      <c r="J127" s="545"/>
      <c r="K127" s="545"/>
      <c r="L127" s="13"/>
    </row>
    <row r="128" spans="1:12" ht="15">
      <c r="A128" s="625"/>
      <c r="D128" s="37"/>
      <c r="E128" s="8"/>
      <c r="F128" s="626"/>
      <c r="G128" s="626"/>
      <c r="H128" s="625"/>
      <c r="I128" s="625"/>
      <c r="J128" s="545"/>
      <c r="K128" s="545"/>
      <c r="L128" s="13"/>
    </row>
    <row r="129" spans="1:12" ht="15">
      <c r="A129" s="625"/>
      <c r="D129" s="37"/>
      <c r="E129" s="8"/>
      <c r="F129" s="626"/>
      <c r="G129" s="626"/>
      <c r="H129" s="625"/>
      <c r="I129" s="625"/>
      <c r="J129" s="545"/>
      <c r="K129" s="545"/>
      <c r="L129" s="13"/>
    </row>
    <row r="130" spans="1:12" ht="15">
      <c r="A130" s="625"/>
      <c r="D130" s="37"/>
      <c r="E130" s="8"/>
      <c r="F130" s="626"/>
      <c r="G130" s="626"/>
      <c r="H130" s="625"/>
      <c r="I130" s="625"/>
      <c r="J130" s="545"/>
      <c r="K130" s="545"/>
      <c r="L130" s="13"/>
    </row>
    <row r="131" spans="1:12" ht="15">
      <c r="A131" s="625"/>
      <c r="D131" s="37"/>
      <c r="E131" s="8"/>
      <c r="F131" s="626"/>
      <c r="G131" s="626"/>
      <c r="H131" s="625"/>
      <c r="I131" s="625"/>
      <c r="J131" s="545"/>
      <c r="K131" s="545"/>
      <c r="L131" s="13"/>
    </row>
    <row r="132" spans="1:12" ht="15">
      <c r="A132" s="625"/>
      <c r="D132" s="37"/>
      <c r="E132" s="8"/>
      <c r="F132" s="626"/>
      <c r="G132" s="626"/>
      <c r="H132" s="625"/>
      <c r="I132" s="625"/>
      <c r="J132" s="545"/>
      <c r="K132" s="545"/>
      <c r="L132" s="13"/>
    </row>
    <row r="133" spans="1:12" ht="15">
      <c r="A133" s="625"/>
      <c r="D133" s="37"/>
      <c r="E133" s="8"/>
      <c r="F133" s="626"/>
      <c r="G133" s="626"/>
      <c r="H133" s="625"/>
      <c r="I133" s="625"/>
      <c r="J133" s="545"/>
      <c r="K133" s="545"/>
      <c r="L133" s="13"/>
    </row>
    <row r="134" spans="1:12" ht="15">
      <c r="A134" s="625"/>
      <c r="D134" s="37"/>
      <c r="E134" s="8"/>
      <c r="F134" s="626"/>
      <c r="G134" s="626"/>
      <c r="H134" s="625"/>
      <c r="I134" s="625"/>
      <c r="J134" s="545"/>
      <c r="K134" s="545"/>
      <c r="L134" s="13"/>
    </row>
    <row r="135" spans="1:12" ht="15">
      <c r="A135" s="625"/>
      <c r="D135" s="37"/>
      <c r="E135" s="8"/>
      <c r="F135" s="626"/>
      <c r="G135" s="626"/>
      <c r="H135" s="625"/>
      <c r="I135" s="625"/>
      <c r="J135" s="545"/>
      <c r="K135" s="545"/>
      <c r="L135" s="13"/>
    </row>
    <row r="136" spans="1:12" ht="15">
      <c r="A136" s="625"/>
      <c r="D136" s="37"/>
      <c r="E136" s="8"/>
      <c r="F136" s="626"/>
      <c r="G136" s="626"/>
      <c r="H136" s="625"/>
      <c r="I136" s="625"/>
      <c r="J136" s="545"/>
      <c r="K136" s="545"/>
      <c r="L136" s="13"/>
    </row>
    <row r="137" spans="1:12" ht="15">
      <c r="A137" s="625"/>
      <c r="D137" s="37"/>
      <c r="E137" s="8"/>
      <c r="F137" s="626"/>
      <c r="G137" s="626"/>
      <c r="H137" s="625"/>
      <c r="I137" s="625"/>
      <c r="J137" s="545"/>
      <c r="K137" s="545"/>
      <c r="L137" s="13"/>
    </row>
    <row r="138" spans="1:12" ht="15">
      <c r="A138" s="625"/>
      <c r="D138" s="37"/>
      <c r="E138" s="8"/>
      <c r="F138" s="626"/>
      <c r="G138" s="626"/>
      <c r="H138" s="625"/>
      <c r="I138" s="625"/>
      <c r="J138" s="545"/>
      <c r="K138" s="545"/>
      <c r="L138" s="13"/>
    </row>
    <row r="139" spans="1:12" ht="15">
      <c r="A139" s="625"/>
      <c r="D139" s="37"/>
      <c r="E139" s="8"/>
      <c r="F139" s="626"/>
      <c r="G139" s="626"/>
      <c r="H139" s="625"/>
      <c r="I139" s="625"/>
      <c r="J139" s="545"/>
      <c r="K139" s="545"/>
      <c r="L139" s="13"/>
    </row>
    <row r="140" spans="1:12" ht="15">
      <c r="A140" s="625"/>
      <c r="D140" s="37"/>
      <c r="E140" s="8"/>
      <c r="F140" s="626"/>
      <c r="G140" s="626"/>
      <c r="H140" s="625"/>
      <c r="I140" s="625"/>
      <c r="J140" s="545"/>
      <c r="K140" s="545"/>
      <c r="L140" s="13"/>
    </row>
    <row r="141" spans="1:12" ht="15">
      <c r="A141" s="625"/>
      <c r="D141" s="37"/>
      <c r="E141" s="8"/>
      <c r="F141" s="626"/>
      <c r="G141" s="626"/>
      <c r="H141" s="625"/>
      <c r="I141" s="625"/>
      <c r="J141" s="545"/>
      <c r="K141" s="545"/>
      <c r="L141" s="13"/>
    </row>
    <row r="142" spans="1:12" ht="15">
      <c r="A142" s="625"/>
      <c r="D142" s="37"/>
      <c r="E142" s="8"/>
      <c r="F142" s="626"/>
      <c r="G142" s="626"/>
      <c r="H142" s="625"/>
      <c r="I142" s="625"/>
      <c r="J142" s="545"/>
      <c r="K142" s="545"/>
      <c r="L142" s="13"/>
    </row>
    <row r="143" spans="1:12" ht="15">
      <c r="A143" s="625"/>
      <c r="D143" s="37"/>
      <c r="E143" s="8"/>
      <c r="F143" s="626"/>
      <c r="G143" s="626"/>
      <c r="H143" s="625"/>
      <c r="I143" s="625"/>
      <c r="J143" s="545"/>
      <c r="K143" s="545"/>
      <c r="L143" s="13"/>
    </row>
    <row r="144" spans="1:12" ht="15">
      <c r="A144" s="625"/>
      <c r="D144" s="37"/>
      <c r="E144" s="8"/>
      <c r="F144" s="626"/>
      <c r="G144" s="626"/>
      <c r="H144" s="625"/>
      <c r="I144" s="625"/>
      <c r="J144" s="545"/>
      <c r="K144" s="545"/>
      <c r="L144" s="13"/>
    </row>
    <row r="145" spans="1:12" ht="15">
      <c r="A145" s="625"/>
      <c r="D145" s="37"/>
      <c r="E145" s="8"/>
      <c r="F145" s="626"/>
      <c r="G145" s="626"/>
      <c r="H145" s="625"/>
      <c r="I145" s="625"/>
      <c r="J145" s="545"/>
      <c r="K145" s="545"/>
      <c r="L145" s="13"/>
    </row>
    <row r="146" spans="1:12" ht="15">
      <c r="A146" s="625"/>
      <c r="D146" s="37"/>
      <c r="E146" s="8"/>
      <c r="F146" s="626"/>
      <c r="G146" s="626"/>
      <c r="H146" s="625"/>
      <c r="I146" s="625"/>
      <c r="J146" s="545"/>
      <c r="K146" s="545"/>
      <c r="L146" s="13"/>
    </row>
    <row r="147" spans="1:12" ht="15">
      <c r="A147" s="625"/>
      <c r="D147" s="37"/>
      <c r="E147" s="8"/>
      <c r="F147" s="626"/>
      <c r="G147" s="626"/>
      <c r="H147" s="625"/>
      <c r="I147" s="625"/>
      <c r="J147" s="545"/>
      <c r="K147" s="545"/>
      <c r="L147" s="13"/>
    </row>
    <row r="148" spans="4:12" ht="15">
      <c r="D148" s="124"/>
      <c r="L148" s="13"/>
    </row>
    <row r="149" spans="4:12" ht="15">
      <c r="D149" s="124"/>
      <c r="L149" s="13"/>
    </row>
    <row r="150" spans="4:12" ht="15">
      <c r="D150" s="124"/>
      <c r="L150" s="13"/>
    </row>
    <row r="151" spans="4:12" ht="15">
      <c r="D151" s="124"/>
      <c r="L151" s="13"/>
    </row>
    <row r="152" spans="1:12" ht="12.75">
      <c r="A152" s="13"/>
      <c r="B152" s="13"/>
      <c r="C152" s="13"/>
      <c r="D152" s="124"/>
      <c r="E152" s="13"/>
      <c r="F152" s="13"/>
      <c r="G152" s="13"/>
      <c r="H152" s="13"/>
      <c r="I152" s="13"/>
      <c r="J152" s="13"/>
      <c r="K152" s="13"/>
      <c r="L152" s="13"/>
    </row>
    <row r="153" spans="1:12" ht="12.75">
      <c r="A153" s="13"/>
      <c r="B153" s="13"/>
      <c r="C153" s="13"/>
      <c r="D153" s="124"/>
      <c r="E153" s="13"/>
      <c r="F153" s="13"/>
      <c r="G153" s="13"/>
      <c r="H153" s="13"/>
      <c r="I153" s="13"/>
      <c r="J153" s="13"/>
      <c r="K153" s="13"/>
      <c r="L153" s="13"/>
    </row>
    <row r="154" spans="1:12" ht="12.75">
      <c r="A154" s="13"/>
      <c r="B154" s="13"/>
      <c r="C154" s="13"/>
      <c r="D154" s="124"/>
      <c r="E154" s="13"/>
      <c r="F154" s="13"/>
      <c r="G154" s="13"/>
      <c r="H154" s="13"/>
      <c r="I154" s="13"/>
      <c r="J154" s="13"/>
      <c r="K154" s="13"/>
      <c r="L154" s="13"/>
    </row>
    <row r="155" spans="1:12" ht="12.75">
      <c r="A155" s="13"/>
      <c r="B155" s="13"/>
      <c r="C155" s="13"/>
      <c r="D155" s="124"/>
      <c r="E155" s="13"/>
      <c r="F155" s="13"/>
      <c r="G155" s="13"/>
      <c r="H155" s="13"/>
      <c r="I155" s="13"/>
      <c r="J155" s="13"/>
      <c r="K155" s="13"/>
      <c r="L155" s="13"/>
    </row>
    <row r="156" spans="1:12" ht="12.75">
      <c r="A156" s="13"/>
      <c r="B156" s="13"/>
      <c r="C156" s="13"/>
      <c r="D156" s="124"/>
      <c r="E156" s="13"/>
      <c r="F156" s="13"/>
      <c r="G156" s="13"/>
      <c r="H156" s="13"/>
      <c r="I156" s="13"/>
      <c r="J156" s="13"/>
      <c r="K156" s="13"/>
      <c r="L156" s="13"/>
    </row>
    <row r="157" spans="1:12" ht="12.75">
      <c r="A157" s="13"/>
      <c r="B157" s="13"/>
      <c r="C157" s="13"/>
      <c r="D157" s="124"/>
      <c r="E157" s="13"/>
      <c r="F157" s="13"/>
      <c r="G157" s="13"/>
      <c r="H157" s="13"/>
      <c r="I157" s="13"/>
      <c r="J157" s="13"/>
      <c r="K157" s="13"/>
      <c r="L157" s="13"/>
    </row>
    <row r="158" spans="1:12" ht="12.75">
      <c r="A158" s="13"/>
      <c r="B158" s="13"/>
      <c r="C158" s="13"/>
      <c r="D158" s="124"/>
      <c r="E158" s="13"/>
      <c r="F158" s="13"/>
      <c r="G158" s="13"/>
      <c r="H158" s="13"/>
      <c r="I158" s="13"/>
      <c r="J158" s="13"/>
      <c r="K158" s="13"/>
      <c r="L158" s="13"/>
    </row>
    <row r="159" spans="1:12" ht="12.75">
      <c r="A159" s="13"/>
      <c r="B159" s="13"/>
      <c r="C159" s="13"/>
      <c r="D159" s="124"/>
      <c r="E159" s="13"/>
      <c r="F159" s="13"/>
      <c r="G159" s="13"/>
      <c r="H159" s="13"/>
      <c r="I159" s="13"/>
      <c r="J159" s="13"/>
      <c r="K159" s="13"/>
      <c r="L159" s="13"/>
    </row>
  </sheetData>
  <sheetProtection password="C5D3" sheet="1"/>
  <mergeCells count="18">
    <mergeCell ref="L31:N31"/>
    <mergeCell ref="L32:N33"/>
    <mergeCell ref="M63:N63"/>
    <mergeCell ref="F6:H6"/>
    <mergeCell ref="F8:H8"/>
    <mergeCell ref="J11:K11"/>
    <mergeCell ref="C10:K10"/>
    <mergeCell ref="D9:H9"/>
    <mergeCell ref="P17:V17"/>
    <mergeCell ref="A11:A12"/>
    <mergeCell ref="B11:B13"/>
    <mergeCell ref="D11:D12"/>
    <mergeCell ref="E11:E12"/>
    <mergeCell ref="F11:F12"/>
    <mergeCell ref="H11:H12"/>
    <mergeCell ref="C11:C12"/>
    <mergeCell ref="G11:G12"/>
    <mergeCell ref="I11:I12"/>
  </mergeCells>
  <dataValidations count="1">
    <dataValidation allowBlank="1" showInputMessage="1" showErrorMessage="1" prompt="Confirmar&#10;DMT" sqref="H22:I22 A14 A22:A29 G14 G23:G29"/>
  </dataValidation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50" r:id="rId1"/>
  <headerFooter alignWithMargins="0">
    <oddFooter>&amp;RPágina &amp;P de &amp;N</oddFooter>
  </headerFooter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T158"/>
  <sheetViews>
    <sheetView view="pageBreakPreview" zoomScale="70" zoomScaleSheetLayoutView="70" zoomScalePageLayoutView="0" workbookViewId="0" topLeftCell="A1">
      <selection activeCell="Y16" sqref="Y16"/>
    </sheetView>
  </sheetViews>
  <sheetFormatPr defaultColWidth="9.140625" defaultRowHeight="12.75"/>
  <cols>
    <col min="1" max="1" width="19.57421875" style="358" customWidth="1"/>
    <col min="2" max="2" width="25.57421875" style="599" customWidth="1"/>
    <col min="3" max="3" width="21.140625" style="358" customWidth="1"/>
    <col min="4" max="4" width="9.7109375" style="358" bestFit="1" customWidth="1"/>
    <col min="5" max="5" width="10.140625" style="358" customWidth="1"/>
    <col min="6" max="6" width="70.57421875" style="358" customWidth="1"/>
    <col min="7" max="7" width="7.7109375" style="358" customWidth="1"/>
    <col min="8" max="8" width="13.28125" style="358" bestFit="1" customWidth="1"/>
    <col min="9" max="9" width="16.8515625" style="358" customWidth="1"/>
    <col min="10" max="10" width="14.57421875" style="358" customWidth="1"/>
    <col min="11" max="11" width="8.57421875" style="358" hidden="1" customWidth="1"/>
    <col min="12" max="12" width="34.28125" style="358" hidden="1" customWidth="1"/>
    <col min="13" max="13" width="18.140625" style="358" hidden="1" customWidth="1"/>
    <col min="14" max="14" width="28.57421875" style="358" hidden="1" customWidth="1"/>
    <col min="15" max="15" width="57.00390625" style="358" hidden="1" customWidth="1"/>
    <col min="16" max="19" width="9.140625" style="358" customWidth="1"/>
    <col min="20" max="20" width="9.421875" style="358" bestFit="1" customWidth="1"/>
    <col min="21" max="16384" width="9.140625" style="358" customWidth="1"/>
  </cols>
  <sheetData>
    <row r="1" spans="2:10" ht="12.75">
      <c r="B1" s="443"/>
      <c r="C1" s="443"/>
      <c r="D1" s="443"/>
      <c r="E1" s="443"/>
      <c r="F1" s="443"/>
      <c r="G1" s="443"/>
      <c r="H1" s="443"/>
      <c r="I1" s="443"/>
      <c r="J1" s="443"/>
    </row>
    <row r="2" spans="2:10" ht="12.75">
      <c r="B2" s="443"/>
      <c r="C2" s="443"/>
      <c r="D2" s="443"/>
      <c r="E2" s="443"/>
      <c r="F2" s="443"/>
      <c r="G2" s="443"/>
      <c r="H2" s="443"/>
      <c r="I2" s="443"/>
      <c r="J2" s="443"/>
    </row>
    <row r="3" spans="2:10" ht="12.75">
      <c r="B3" s="443"/>
      <c r="C3" s="443"/>
      <c r="D3" s="443"/>
      <c r="E3" s="443"/>
      <c r="F3" s="443"/>
      <c r="G3" s="443"/>
      <c r="H3" s="443"/>
      <c r="I3" s="443"/>
      <c r="J3" s="443"/>
    </row>
    <row r="4" spans="2:10" ht="12.75">
      <c r="B4" s="443"/>
      <c r="C4" s="443"/>
      <c r="D4" s="443"/>
      <c r="E4" s="443"/>
      <c r="F4" s="443"/>
      <c r="G4" s="443"/>
      <c r="H4" s="443"/>
      <c r="I4" s="443"/>
      <c r="J4" s="443"/>
    </row>
    <row r="5" spans="2:10" ht="12.75">
      <c r="B5" s="443"/>
      <c r="C5" s="443"/>
      <c r="D5" s="443"/>
      <c r="E5" s="443"/>
      <c r="F5" s="443"/>
      <c r="G5" s="443"/>
      <c r="H5" s="443"/>
      <c r="I5" s="443"/>
      <c r="J5" s="443"/>
    </row>
    <row r="6" spans="2:10" ht="12.75">
      <c r="B6" s="443"/>
      <c r="C6" s="443"/>
      <c r="D6" s="443"/>
      <c r="E6" s="443"/>
      <c r="F6" s="443"/>
      <c r="G6" s="443"/>
      <c r="H6" s="443"/>
      <c r="I6" s="443"/>
      <c r="J6" s="443"/>
    </row>
    <row r="7" spans="2:10" ht="12.75">
      <c r="B7" s="443"/>
      <c r="C7" s="443"/>
      <c r="D7" s="443"/>
      <c r="E7" s="443"/>
      <c r="F7" s="443"/>
      <c r="G7" s="443"/>
      <c r="H7" s="443"/>
      <c r="I7" s="443"/>
      <c r="J7" s="443"/>
    </row>
    <row r="8" spans="2:10" ht="12.75">
      <c r="B8" s="443"/>
      <c r="C8" s="443"/>
      <c r="D8" s="443"/>
      <c r="E8" s="443"/>
      <c r="F8" s="443"/>
      <c r="G8" s="443"/>
      <c r="H8" s="443"/>
      <c r="I8" s="443"/>
      <c r="J8" s="443"/>
    </row>
    <row r="9" spans="2:10" ht="12.75">
      <c r="B9" s="904"/>
      <c r="C9" s="905"/>
      <c r="D9" s="905"/>
      <c r="E9" s="905"/>
      <c r="F9" s="443"/>
      <c r="G9" s="443"/>
      <c r="H9" s="443"/>
      <c r="I9" s="443"/>
      <c r="J9" s="906"/>
    </row>
    <row r="10" spans="2:10" ht="30" customHeight="1">
      <c r="B10" s="562" t="s">
        <v>253</v>
      </c>
      <c r="C10" s="560" t="str">
        <f>DADOS!$B$2</f>
        <v>BASE PARA LOTES URBANIZADOS - RADIER</v>
      </c>
      <c r="D10" s="560"/>
      <c r="E10" s="560"/>
      <c r="F10" s="137"/>
      <c r="G10" s="137"/>
      <c r="H10" s="796"/>
      <c r="I10" s="137"/>
      <c r="J10" s="166"/>
    </row>
    <row r="11" spans="2:10" ht="12.75">
      <c r="B11" s="562" t="s">
        <v>254</v>
      </c>
      <c r="C11" s="560" t="str">
        <f>DADOS!$B$4</f>
        <v>RIBAS DO RIO PARDO/MS</v>
      </c>
      <c r="D11" s="560"/>
      <c r="E11" s="560"/>
      <c r="F11" s="137"/>
      <c r="G11" s="137"/>
      <c r="H11" s="560"/>
      <c r="I11" s="563"/>
      <c r="J11" s="166"/>
    </row>
    <row r="12" spans="2:10" ht="20.25" customHeight="1">
      <c r="B12" s="650"/>
      <c r="C12" s="463"/>
      <c r="D12" s="463"/>
      <c r="E12" s="463"/>
      <c r="F12" s="463"/>
      <c r="G12" s="463"/>
      <c r="H12" s="463"/>
      <c r="I12" s="463"/>
      <c r="J12" s="634"/>
    </row>
    <row r="13" spans="2:10" ht="20.25" customHeight="1">
      <c r="B13" s="1076" t="s">
        <v>252</v>
      </c>
      <c r="C13" s="1077"/>
      <c r="D13" s="1077"/>
      <c r="E13" s="1077"/>
      <c r="F13" s="1077"/>
      <c r="G13" s="1077"/>
      <c r="H13" s="1077"/>
      <c r="I13" s="1077"/>
      <c r="J13" s="1078"/>
    </row>
    <row r="14" spans="2:10" ht="31.5">
      <c r="B14" s="709" t="s">
        <v>410</v>
      </c>
      <c r="C14" s="1079" t="s">
        <v>301</v>
      </c>
      <c r="D14" s="1079"/>
      <c r="E14" s="1079"/>
      <c r="F14" s="1079"/>
      <c r="G14" s="699" t="s">
        <v>302</v>
      </c>
      <c r="H14" s="699" t="s">
        <v>411</v>
      </c>
      <c r="I14" s="699" t="s">
        <v>1</v>
      </c>
      <c r="J14" s="699" t="s">
        <v>3</v>
      </c>
    </row>
    <row r="15" spans="2:15" ht="36" customHeight="1">
      <c r="B15" s="775" t="s">
        <v>283</v>
      </c>
      <c r="C15" s="1063" t="s">
        <v>324</v>
      </c>
      <c r="D15" s="1063"/>
      <c r="E15" s="1063"/>
      <c r="F15" s="1064"/>
      <c r="G15" s="790" t="s">
        <v>269</v>
      </c>
      <c r="H15" s="777"/>
      <c r="I15" s="777"/>
      <c r="J15" s="782"/>
      <c r="K15" s="698" t="s">
        <v>300</v>
      </c>
      <c r="L15" s="699" t="str">
        <f>B15</f>
        <v>AGEHAB.0003</v>
      </c>
      <c r="M15" s="700" t="str">
        <f>C15</f>
        <v>LOCACAO CONVENCIONAL DE OBRA, ATRAVÉS DE GABARITO DE TABUAS CORRIDAS PONTALETADAS, COM REAPROVEITAMENTO DE 3 VEZES.</v>
      </c>
      <c r="N15" s="700" t="str">
        <f>G15</f>
        <v>M2</v>
      </c>
      <c r="O15" s="701">
        <f>J22</f>
        <v>0</v>
      </c>
    </row>
    <row r="16" spans="2:10" ht="21.75" customHeight="1">
      <c r="B16" s="639">
        <v>43132</v>
      </c>
      <c r="C16" s="1052" t="s">
        <v>336</v>
      </c>
      <c r="D16" s="1053"/>
      <c r="E16" s="1053"/>
      <c r="F16" s="1053"/>
      <c r="G16" s="565" t="s">
        <v>294</v>
      </c>
      <c r="H16" s="640">
        <v>0.02</v>
      </c>
      <c r="I16" s="892"/>
      <c r="J16" s="783">
        <f aca="true" t="shared" si="0" ref="J16:J21">TRUNC((H16*I16),2)</f>
        <v>0</v>
      </c>
    </row>
    <row r="17" spans="2:10" ht="21" customHeight="1">
      <c r="B17" s="641">
        <v>4491</v>
      </c>
      <c r="C17" s="1052" t="s">
        <v>351</v>
      </c>
      <c r="D17" s="1053"/>
      <c r="E17" s="1053"/>
      <c r="F17" s="1053"/>
      <c r="G17" s="565" t="s">
        <v>329</v>
      </c>
      <c r="H17" s="640">
        <v>0.12</v>
      </c>
      <c r="I17" s="892"/>
      <c r="J17" s="574">
        <f t="shared" si="0"/>
        <v>0</v>
      </c>
    </row>
    <row r="18" spans="2:10" ht="25.5" customHeight="1">
      <c r="B18" s="642">
        <v>5061</v>
      </c>
      <c r="C18" s="1052" t="s">
        <v>354</v>
      </c>
      <c r="D18" s="1053"/>
      <c r="E18" s="1053"/>
      <c r="F18" s="1053"/>
      <c r="G18" s="565" t="s">
        <v>294</v>
      </c>
      <c r="H18" s="640">
        <v>0.01</v>
      </c>
      <c r="I18" s="892"/>
      <c r="J18" s="574">
        <f t="shared" si="0"/>
        <v>0</v>
      </c>
    </row>
    <row r="19" spans="2:10" ht="22.5" customHeight="1">
      <c r="B19" s="642">
        <v>10567</v>
      </c>
      <c r="C19" s="1052" t="s">
        <v>357</v>
      </c>
      <c r="D19" s="1053"/>
      <c r="E19" s="1053"/>
      <c r="F19" s="1053"/>
      <c r="G19" s="565" t="s">
        <v>329</v>
      </c>
      <c r="H19" s="640">
        <v>0.1067</v>
      </c>
      <c r="I19" s="892"/>
      <c r="J19" s="574">
        <f t="shared" si="0"/>
        <v>0</v>
      </c>
    </row>
    <row r="20" spans="2:10" ht="21.75" customHeight="1">
      <c r="B20" s="638" t="s">
        <v>256</v>
      </c>
      <c r="C20" s="1052" t="s">
        <v>403</v>
      </c>
      <c r="D20" s="1053"/>
      <c r="E20" s="1053"/>
      <c r="F20" s="1053"/>
      <c r="G20" s="565" t="s">
        <v>370</v>
      </c>
      <c r="H20" s="640">
        <v>0.1</v>
      </c>
      <c r="I20" s="893"/>
      <c r="J20" s="574">
        <f t="shared" si="0"/>
        <v>0</v>
      </c>
    </row>
    <row r="21" spans="2:10" ht="20.25" customHeight="1">
      <c r="B21" s="638" t="s">
        <v>259</v>
      </c>
      <c r="C21" s="1052" t="s">
        <v>407</v>
      </c>
      <c r="D21" s="1053"/>
      <c r="E21" s="1053"/>
      <c r="F21" s="1053"/>
      <c r="G21" s="565" t="s">
        <v>370</v>
      </c>
      <c r="H21" s="640">
        <v>0.1</v>
      </c>
      <c r="I21" s="893"/>
      <c r="J21" s="574">
        <f t="shared" si="0"/>
        <v>0</v>
      </c>
    </row>
    <row r="22" spans="2:10" ht="28.5" customHeight="1">
      <c r="B22" s="1054" t="s">
        <v>412</v>
      </c>
      <c r="C22" s="1055"/>
      <c r="D22" s="1055"/>
      <c r="E22" s="1055"/>
      <c r="F22" s="1055"/>
      <c r="G22" s="1055"/>
      <c r="H22" s="1055"/>
      <c r="I22" s="1056"/>
      <c r="J22" s="561">
        <f>SUM(J16:J21)</f>
        <v>0</v>
      </c>
    </row>
    <row r="23" spans="2:10" ht="11.25" customHeight="1">
      <c r="B23" s="806"/>
      <c r="C23" s="806"/>
      <c r="D23" s="806"/>
      <c r="E23" s="806"/>
      <c r="F23" s="806"/>
      <c r="G23" s="806"/>
      <c r="H23" s="806"/>
      <c r="I23" s="806"/>
      <c r="J23" s="811"/>
    </row>
    <row r="24" spans="2:15" ht="30" customHeight="1">
      <c r="B24" s="775" t="s">
        <v>315</v>
      </c>
      <c r="C24" s="775" t="s">
        <v>312</v>
      </c>
      <c r="D24" s="775"/>
      <c r="E24" s="775"/>
      <c r="F24" s="775"/>
      <c r="G24" s="790" t="s">
        <v>17</v>
      </c>
      <c r="H24" s="777"/>
      <c r="I24" s="777"/>
      <c r="J24" s="782"/>
      <c r="K24" s="698" t="s">
        <v>300</v>
      </c>
      <c r="L24" s="699" t="str">
        <f>B24</f>
        <v>AGEHAB.0102</v>
      </c>
      <c r="M24" s="700" t="str">
        <f>C24</f>
        <v>PLACA DE OBRA EM CHAPA DE ACO GALVANIZADO</v>
      </c>
      <c r="N24" s="700" t="str">
        <f>G24</f>
        <v>UN</v>
      </c>
      <c r="O24" s="701">
        <f>J32</f>
        <v>0</v>
      </c>
    </row>
    <row r="25" spans="2:10" ht="20.25" customHeight="1">
      <c r="B25" s="639">
        <v>4417</v>
      </c>
      <c r="C25" s="1052" t="s">
        <v>356</v>
      </c>
      <c r="D25" s="1053"/>
      <c r="E25" s="1053"/>
      <c r="F25" s="1053"/>
      <c r="G25" s="565" t="s">
        <v>329</v>
      </c>
      <c r="H25" s="640">
        <v>1</v>
      </c>
      <c r="I25" s="894"/>
      <c r="J25" s="783">
        <f aca="true" t="shared" si="1" ref="J25:J31">TRUNC((H25*I25),2)</f>
        <v>0</v>
      </c>
    </row>
    <row r="26" spans="2:10" ht="21" customHeight="1">
      <c r="B26" s="641">
        <v>4491</v>
      </c>
      <c r="C26" s="1052" t="s">
        <v>351</v>
      </c>
      <c r="D26" s="1053"/>
      <c r="E26" s="1053"/>
      <c r="F26" s="1053"/>
      <c r="G26" s="565" t="s">
        <v>329</v>
      </c>
      <c r="H26" s="640">
        <v>4</v>
      </c>
      <c r="I26" s="894"/>
      <c r="J26" s="574">
        <f t="shared" si="1"/>
        <v>0</v>
      </c>
    </row>
    <row r="27" spans="2:10" ht="26.25" customHeight="1">
      <c r="B27" s="642">
        <v>4813</v>
      </c>
      <c r="C27" s="1052" t="s">
        <v>350</v>
      </c>
      <c r="D27" s="1053"/>
      <c r="E27" s="1053"/>
      <c r="F27" s="1053"/>
      <c r="G27" s="565" t="s">
        <v>328</v>
      </c>
      <c r="H27" s="640">
        <v>1</v>
      </c>
      <c r="I27" s="894"/>
      <c r="J27" s="574">
        <f t="shared" si="1"/>
        <v>0</v>
      </c>
    </row>
    <row r="28" spans="2:10" ht="20.25" customHeight="1">
      <c r="B28" s="642">
        <v>5075</v>
      </c>
      <c r="C28" s="1052" t="s">
        <v>355</v>
      </c>
      <c r="D28" s="1053"/>
      <c r="E28" s="1053"/>
      <c r="F28" s="1053"/>
      <c r="G28" s="565" t="s">
        <v>294</v>
      </c>
      <c r="H28" s="640">
        <v>0.11</v>
      </c>
      <c r="I28" s="894"/>
      <c r="J28" s="574">
        <f t="shared" si="1"/>
        <v>0</v>
      </c>
    </row>
    <row r="29" spans="2:10" ht="28.5" customHeight="1">
      <c r="B29" s="638" t="s">
        <v>288</v>
      </c>
      <c r="C29" s="1052" t="s">
        <v>374</v>
      </c>
      <c r="D29" s="1053"/>
      <c r="E29" s="1053"/>
      <c r="F29" s="1053"/>
      <c r="G29" s="565" t="s">
        <v>285</v>
      </c>
      <c r="H29" s="640">
        <v>0.01</v>
      </c>
      <c r="I29" s="895"/>
      <c r="J29" s="574">
        <f t="shared" si="1"/>
        <v>0</v>
      </c>
    </row>
    <row r="30" spans="2:10" ht="20.25" customHeight="1">
      <c r="B30" s="638" t="s">
        <v>256</v>
      </c>
      <c r="C30" s="1052" t="s">
        <v>403</v>
      </c>
      <c r="D30" s="1053"/>
      <c r="E30" s="1053"/>
      <c r="F30" s="1053"/>
      <c r="G30" s="565" t="s">
        <v>370</v>
      </c>
      <c r="H30" s="640">
        <v>1</v>
      </c>
      <c r="I30" s="895"/>
      <c r="J30" s="574">
        <f t="shared" si="1"/>
        <v>0</v>
      </c>
    </row>
    <row r="31" spans="2:10" ht="19.5" customHeight="1">
      <c r="B31" s="638" t="s">
        <v>259</v>
      </c>
      <c r="C31" s="1052" t="s">
        <v>407</v>
      </c>
      <c r="D31" s="1053"/>
      <c r="E31" s="1053"/>
      <c r="F31" s="1053"/>
      <c r="G31" s="565" t="s">
        <v>370</v>
      </c>
      <c r="H31" s="640">
        <v>2</v>
      </c>
      <c r="I31" s="895"/>
      <c r="J31" s="574">
        <f t="shared" si="1"/>
        <v>0</v>
      </c>
    </row>
    <row r="32" spans="2:10" ht="32.25" customHeight="1">
      <c r="B32" s="1054" t="s">
        <v>412</v>
      </c>
      <c r="C32" s="1055"/>
      <c r="D32" s="1055"/>
      <c r="E32" s="1055"/>
      <c r="F32" s="1055"/>
      <c r="G32" s="1055"/>
      <c r="H32" s="1055"/>
      <c r="I32" s="1056"/>
      <c r="J32" s="561">
        <f>SUM(J25:J31)</f>
        <v>0</v>
      </c>
    </row>
    <row r="33" spans="2:10" ht="12.75" customHeight="1">
      <c r="B33" s="709"/>
      <c r="C33" s="779"/>
      <c r="D33" s="779"/>
      <c r="E33" s="779"/>
      <c r="F33" s="779"/>
      <c r="G33" s="699"/>
      <c r="H33" s="699"/>
      <c r="I33" s="699"/>
      <c r="J33" s="699"/>
    </row>
    <row r="34" spans="2:15" ht="35.25" customHeight="1">
      <c r="B34" s="775" t="s">
        <v>236</v>
      </c>
      <c r="C34" s="1048" t="s">
        <v>260</v>
      </c>
      <c r="D34" s="1048"/>
      <c r="E34" s="1048"/>
      <c r="F34" s="1048"/>
      <c r="G34" s="789" t="s">
        <v>293</v>
      </c>
      <c r="H34" s="719"/>
      <c r="I34" s="719"/>
      <c r="J34" s="720"/>
      <c r="K34" s="698" t="s">
        <v>300</v>
      </c>
      <c r="L34" s="699" t="str">
        <f>B34</f>
        <v>AGEHAB.0072</v>
      </c>
      <c r="M34" s="700" t="str">
        <f>C34</f>
        <v>INSTALAÇÃO PROVISORIA DE ÁGUA E ESGOTO P/CANT OBRA</v>
      </c>
      <c r="N34" s="700" t="str">
        <f>G34</f>
        <v>UN    </v>
      </c>
      <c r="O34" s="701">
        <f>J49</f>
        <v>0</v>
      </c>
    </row>
    <row r="35" spans="2:20" ht="27" customHeight="1">
      <c r="B35" s="637">
        <v>370</v>
      </c>
      <c r="C35" s="1052" t="s">
        <v>337</v>
      </c>
      <c r="D35" s="1053"/>
      <c r="E35" s="1053"/>
      <c r="F35" s="1053"/>
      <c r="G35" s="565" t="s">
        <v>331</v>
      </c>
      <c r="H35" s="798">
        <v>0.0189</v>
      </c>
      <c r="I35" s="894"/>
      <c r="J35" s="574">
        <f>TRUNC((H35*I35),2)</f>
        <v>0</v>
      </c>
      <c r="M35" s="643"/>
      <c r="N35" s="353"/>
      <c r="O35" s="353"/>
      <c r="P35" s="353"/>
      <c r="Q35" s="353"/>
      <c r="R35" s="353"/>
      <c r="S35" s="353"/>
      <c r="T35" s="644"/>
    </row>
    <row r="36" spans="2:20" ht="32.25" customHeight="1">
      <c r="B36" s="637">
        <v>14439</v>
      </c>
      <c r="C36" s="1052" t="s">
        <v>352</v>
      </c>
      <c r="D36" s="1053"/>
      <c r="E36" s="1053"/>
      <c r="F36" s="1053"/>
      <c r="G36" s="565" t="s">
        <v>329</v>
      </c>
      <c r="H36" s="798">
        <v>25</v>
      </c>
      <c r="I36" s="894"/>
      <c r="J36" s="574">
        <f aca="true" t="shared" si="2" ref="J36:J44">TRUNC((H36*I36),2)</f>
        <v>0</v>
      </c>
      <c r="M36" s="643"/>
      <c r="N36" s="353"/>
      <c r="O36" s="353"/>
      <c r="P36" s="353"/>
      <c r="Q36" s="353"/>
      <c r="R36" s="353"/>
      <c r="S36" s="353"/>
      <c r="T36" s="644"/>
    </row>
    <row r="37" spans="2:20" ht="24.75" customHeight="1">
      <c r="B37" s="637">
        <v>20247</v>
      </c>
      <c r="C37" s="1052" t="s">
        <v>353</v>
      </c>
      <c r="D37" s="1053"/>
      <c r="E37" s="1053"/>
      <c r="F37" s="1053"/>
      <c r="G37" s="565" t="s">
        <v>294</v>
      </c>
      <c r="H37" s="798">
        <v>1</v>
      </c>
      <c r="I37" s="894"/>
      <c r="J37" s="574">
        <f t="shared" si="2"/>
        <v>0</v>
      </c>
      <c r="M37" s="645"/>
      <c r="N37" s="1070"/>
      <c r="O37" s="1070"/>
      <c r="P37" s="1070"/>
      <c r="Q37" s="1070"/>
      <c r="R37" s="1070"/>
      <c r="S37" s="1070"/>
      <c r="T37" s="644"/>
    </row>
    <row r="38" spans="2:20" ht="30" customHeight="1">
      <c r="B38" s="637">
        <v>6189</v>
      </c>
      <c r="C38" s="1052" t="s">
        <v>358</v>
      </c>
      <c r="D38" s="1053"/>
      <c r="E38" s="1053"/>
      <c r="F38" s="1053"/>
      <c r="G38" s="565" t="s">
        <v>329</v>
      </c>
      <c r="H38" s="798">
        <v>8</v>
      </c>
      <c r="I38" s="894"/>
      <c r="J38" s="574">
        <f t="shared" si="2"/>
        <v>0</v>
      </c>
      <c r="M38" s="645"/>
      <c r="N38" s="1068"/>
      <c r="O38" s="1068"/>
      <c r="P38" s="1068"/>
      <c r="Q38" s="1068"/>
      <c r="R38" s="1068"/>
      <c r="S38" s="1068"/>
      <c r="T38" s="646"/>
    </row>
    <row r="39" spans="2:20" ht="24.75" customHeight="1">
      <c r="B39" s="637">
        <v>7258</v>
      </c>
      <c r="C39" s="1052" t="s">
        <v>364</v>
      </c>
      <c r="D39" s="1053"/>
      <c r="E39" s="1053"/>
      <c r="F39" s="1053"/>
      <c r="G39" s="565" t="s">
        <v>293</v>
      </c>
      <c r="H39" s="798">
        <v>30</v>
      </c>
      <c r="I39" s="894"/>
      <c r="J39" s="574">
        <f t="shared" si="2"/>
        <v>0</v>
      </c>
      <c r="M39" s="645"/>
      <c r="N39" s="1068"/>
      <c r="O39" s="1068"/>
      <c r="P39" s="1068"/>
      <c r="Q39" s="1068"/>
      <c r="R39" s="1068"/>
      <c r="S39" s="1068"/>
      <c r="T39" s="644"/>
    </row>
    <row r="40" spans="2:20" ht="24.75" customHeight="1">
      <c r="B40" s="637">
        <v>10420</v>
      </c>
      <c r="C40" s="1052" t="s">
        <v>338</v>
      </c>
      <c r="D40" s="1053"/>
      <c r="E40" s="1053"/>
      <c r="F40" s="1053"/>
      <c r="G40" s="565" t="s">
        <v>293</v>
      </c>
      <c r="H40" s="798">
        <v>0.0232</v>
      </c>
      <c r="I40" s="894"/>
      <c r="J40" s="574">
        <f t="shared" si="2"/>
        <v>0</v>
      </c>
      <c r="M40" s="645"/>
      <c r="N40" s="1069"/>
      <c r="O40" s="1069"/>
      <c r="P40" s="1069"/>
      <c r="Q40" s="1069"/>
      <c r="R40" s="1069"/>
      <c r="S40" s="1069"/>
      <c r="T40" s="644"/>
    </row>
    <row r="41" spans="2:10" ht="24.75" customHeight="1">
      <c r="B41" s="637">
        <v>34637</v>
      </c>
      <c r="C41" s="1052" t="s">
        <v>341</v>
      </c>
      <c r="D41" s="1053"/>
      <c r="E41" s="1053"/>
      <c r="F41" s="1053"/>
      <c r="G41" s="565" t="s">
        <v>293</v>
      </c>
      <c r="H41" s="798">
        <v>0.0232</v>
      </c>
      <c r="I41" s="894"/>
      <c r="J41" s="574">
        <f t="shared" si="2"/>
        <v>0</v>
      </c>
    </row>
    <row r="42" spans="2:10" ht="38.25" customHeight="1">
      <c r="B42" s="637">
        <v>1030</v>
      </c>
      <c r="C42" s="1052" t="s">
        <v>343</v>
      </c>
      <c r="D42" s="1053"/>
      <c r="E42" s="1053"/>
      <c r="F42" s="1053"/>
      <c r="G42" s="565" t="s">
        <v>293</v>
      </c>
      <c r="H42" s="798">
        <v>0.0232</v>
      </c>
      <c r="I42" s="894"/>
      <c r="J42" s="574">
        <f t="shared" si="2"/>
        <v>0</v>
      </c>
    </row>
    <row r="43" spans="2:10" ht="30" customHeight="1">
      <c r="B43" s="637">
        <v>9836</v>
      </c>
      <c r="C43" s="1052" t="s">
        <v>367</v>
      </c>
      <c r="D43" s="1053"/>
      <c r="E43" s="1053"/>
      <c r="F43" s="1053"/>
      <c r="G43" s="565" t="s">
        <v>329</v>
      </c>
      <c r="H43" s="798">
        <v>5</v>
      </c>
      <c r="I43" s="894"/>
      <c r="J43" s="574">
        <f t="shared" si="2"/>
        <v>0</v>
      </c>
    </row>
    <row r="44" spans="2:10" ht="24.75" customHeight="1">
      <c r="B44" s="637">
        <v>9868</v>
      </c>
      <c r="C44" s="1052" t="s">
        <v>368</v>
      </c>
      <c r="D44" s="1053"/>
      <c r="E44" s="1053"/>
      <c r="F44" s="1053"/>
      <c r="G44" s="565" t="s">
        <v>329</v>
      </c>
      <c r="H44" s="798">
        <v>30</v>
      </c>
      <c r="I44" s="894"/>
      <c r="J44" s="574">
        <f t="shared" si="2"/>
        <v>0</v>
      </c>
    </row>
    <row r="45" spans="2:10" ht="30" customHeight="1">
      <c r="B45" s="632" t="s">
        <v>256</v>
      </c>
      <c r="C45" s="1052" t="s">
        <v>403</v>
      </c>
      <c r="D45" s="1053"/>
      <c r="E45" s="1053"/>
      <c r="F45" s="1053"/>
      <c r="G45" s="565" t="s">
        <v>370</v>
      </c>
      <c r="H45" s="798">
        <v>8</v>
      </c>
      <c r="I45" s="894"/>
      <c r="J45" s="574">
        <f>TRUNC((H45*I45),2)</f>
        <v>0</v>
      </c>
    </row>
    <row r="46" spans="2:12" ht="30" customHeight="1">
      <c r="B46" s="632" t="s">
        <v>257</v>
      </c>
      <c r="C46" s="1052" t="s">
        <v>405</v>
      </c>
      <c r="D46" s="1053"/>
      <c r="E46" s="1053"/>
      <c r="F46" s="1053"/>
      <c r="G46" s="565" t="s">
        <v>370</v>
      </c>
      <c r="H46" s="798">
        <v>8</v>
      </c>
      <c r="I46" s="895"/>
      <c r="J46" s="574">
        <f>TRUNC((H46*I46),2)</f>
        <v>0</v>
      </c>
      <c r="L46" s="358">
        <v>1077</v>
      </c>
    </row>
    <row r="47" spans="2:10" ht="24.75" customHeight="1">
      <c r="B47" s="632" t="s">
        <v>258</v>
      </c>
      <c r="C47" s="1052" t="s">
        <v>406</v>
      </c>
      <c r="D47" s="1053"/>
      <c r="E47" s="1053"/>
      <c r="F47" s="1053"/>
      <c r="G47" s="565" t="s">
        <v>370</v>
      </c>
      <c r="H47" s="798">
        <v>8</v>
      </c>
      <c r="I47" s="895"/>
      <c r="J47" s="574">
        <f>TRUNC((H47*I47),2)</f>
        <v>0</v>
      </c>
    </row>
    <row r="48" spans="2:10" ht="24.75" customHeight="1">
      <c r="B48" s="632" t="s">
        <v>259</v>
      </c>
      <c r="C48" s="1052" t="s">
        <v>407</v>
      </c>
      <c r="D48" s="1053"/>
      <c r="E48" s="1053"/>
      <c r="F48" s="1053"/>
      <c r="G48" s="565" t="s">
        <v>370</v>
      </c>
      <c r="H48" s="798">
        <v>8.12</v>
      </c>
      <c r="I48" s="895"/>
      <c r="J48" s="574">
        <f>TRUNC((H48*I48),2)</f>
        <v>0</v>
      </c>
    </row>
    <row r="49" spans="2:10" ht="33" customHeight="1">
      <c r="B49" s="1054" t="s">
        <v>412</v>
      </c>
      <c r="C49" s="1055"/>
      <c r="D49" s="1055"/>
      <c r="E49" s="1055"/>
      <c r="F49" s="1055"/>
      <c r="G49" s="1055"/>
      <c r="H49" s="1055"/>
      <c r="I49" s="1056"/>
      <c r="J49" s="561">
        <f>SUM(J35:J48)</f>
        <v>0</v>
      </c>
    </row>
    <row r="50" spans="2:10" ht="15.75" customHeight="1">
      <c r="B50" s="721"/>
      <c r="C50" s="137"/>
      <c r="D50" s="137"/>
      <c r="E50" s="137"/>
      <c r="F50" s="137"/>
      <c r="G50" s="137"/>
      <c r="H50" s="137"/>
      <c r="I50" s="137"/>
      <c r="J50" s="166"/>
    </row>
    <row r="51" spans="2:15" ht="33" customHeight="1">
      <c r="B51" s="775" t="s">
        <v>237</v>
      </c>
      <c r="C51" s="1065" t="s">
        <v>233</v>
      </c>
      <c r="D51" s="1066"/>
      <c r="E51" s="1066"/>
      <c r="F51" s="1067"/>
      <c r="G51" s="790" t="s">
        <v>293</v>
      </c>
      <c r="H51" s="777"/>
      <c r="I51" s="777"/>
      <c r="J51" s="782"/>
      <c r="K51" s="698" t="s">
        <v>300</v>
      </c>
      <c r="L51" s="699" t="str">
        <f>B51</f>
        <v>AGEHAB.0070</v>
      </c>
      <c r="M51" s="700" t="str">
        <f>C51</f>
        <v>INSTALAÇÃO/LIGAÇÃO PROVISÓRIA DE ENERGIA ELÉTRICA DE BAIXA TENSÃO</v>
      </c>
      <c r="N51" s="700" t="str">
        <f>G51</f>
        <v>UN    </v>
      </c>
      <c r="O51" s="701">
        <f>J57</f>
        <v>0</v>
      </c>
    </row>
    <row r="52" spans="2:10" ht="41.25" customHeight="1">
      <c r="B52" s="632">
        <v>1008</v>
      </c>
      <c r="C52" s="1052" t="s">
        <v>340</v>
      </c>
      <c r="D52" s="1053"/>
      <c r="E52" s="1053"/>
      <c r="F52" s="1053"/>
      <c r="G52" s="565" t="s">
        <v>329</v>
      </c>
      <c r="H52" s="798">
        <v>27</v>
      </c>
      <c r="I52" s="896"/>
      <c r="J52" s="783">
        <f>TRUNC((H52*I52),2)</f>
        <v>0</v>
      </c>
    </row>
    <row r="53" spans="2:10" ht="39.75" customHeight="1">
      <c r="B53" s="632">
        <v>1062</v>
      </c>
      <c r="C53" s="1052" t="s">
        <v>344</v>
      </c>
      <c r="D53" s="1053"/>
      <c r="E53" s="1053"/>
      <c r="F53" s="1053"/>
      <c r="G53" s="565" t="s">
        <v>293</v>
      </c>
      <c r="H53" s="798">
        <v>1</v>
      </c>
      <c r="I53" s="894"/>
      <c r="J53" s="574">
        <f>TRUNC((H53*I53),2)</f>
        <v>0</v>
      </c>
    </row>
    <row r="54" spans="2:10" ht="30" customHeight="1">
      <c r="B54" s="632">
        <v>7701</v>
      </c>
      <c r="C54" s="1052" t="s">
        <v>365</v>
      </c>
      <c r="D54" s="1053"/>
      <c r="E54" s="1053"/>
      <c r="F54" s="1053"/>
      <c r="G54" s="565" t="s">
        <v>329</v>
      </c>
      <c r="H54" s="798">
        <v>6</v>
      </c>
      <c r="I54" s="894"/>
      <c r="J54" s="574">
        <f>TRUNC((H54*I54),2)</f>
        <v>0</v>
      </c>
    </row>
    <row r="55" spans="2:10" ht="24.75" customHeight="1">
      <c r="B55" s="632" t="s">
        <v>261</v>
      </c>
      <c r="C55" s="1052" t="s">
        <v>404</v>
      </c>
      <c r="D55" s="1053"/>
      <c r="E55" s="1053"/>
      <c r="F55" s="1053"/>
      <c r="G55" s="565" t="s">
        <v>370</v>
      </c>
      <c r="H55" s="798">
        <v>24</v>
      </c>
      <c r="I55" s="895"/>
      <c r="J55" s="574">
        <f>TRUNC((H55*I55),2)</f>
        <v>0</v>
      </c>
    </row>
    <row r="56" spans="2:10" ht="30" customHeight="1">
      <c r="B56" s="632" t="s">
        <v>259</v>
      </c>
      <c r="C56" s="1052" t="s">
        <v>407</v>
      </c>
      <c r="D56" s="1053"/>
      <c r="E56" s="1053"/>
      <c r="F56" s="1053"/>
      <c r="G56" s="565" t="s">
        <v>370</v>
      </c>
      <c r="H56" s="798">
        <v>24</v>
      </c>
      <c r="I56" s="895"/>
      <c r="J56" s="574">
        <f>TRUNC((H56*I56),2)</f>
        <v>0</v>
      </c>
    </row>
    <row r="57" spans="2:10" ht="36.75" customHeight="1">
      <c r="B57" s="1054" t="s">
        <v>412</v>
      </c>
      <c r="C57" s="1055"/>
      <c r="D57" s="1055"/>
      <c r="E57" s="1055"/>
      <c r="F57" s="1055"/>
      <c r="G57" s="1055"/>
      <c r="H57" s="1055"/>
      <c r="I57" s="1056"/>
      <c r="J57" s="561">
        <f>SUM(J52:J56)</f>
        <v>0</v>
      </c>
    </row>
    <row r="58" spans="2:10" ht="15" customHeight="1">
      <c r="B58" s="1071"/>
      <c r="C58" s="1072"/>
      <c r="D58" s="1072"/>
      <c r="E58" s="1072"/>
      <c r="F58" s="1072"/>
      <c r="G58" s="1072"/>
      <c r="H58" s="1072"/>
      <c r="I58" s="1072"/>
      <c r="J58" s="1073"/>
    </row>
    <row r="59" spans="2:15" ht="36.75" customHeight="1">
      <c r="B59" s="775" t="s">
        <v>424</v>
      </c>
      <c r="C59" s="1065" t="s">
        <v>234</v>
      </c>
      <c r="D59" s="1066"/>
      <c r="E59" s="1066"/>
      <c r="F59" s="1067"/>
      <c r="G59" s="812" t="s">
        <v>304</v>
      </c>
      <c r="H59" s="814"/>
      <c r="I59" s="813"/>
      <c r="J59" s="813"/>
      <c r="K59" s="698" t="s">
        <v>300</v>
      </c>
      <c r="L59" s="700" t="str">
        <f>B59</f>
        <v>AGEHAB.0099</v>
      </c>
      <c r="M59" s="358" t="str">
        <f>C59</f>
        <v>ADMINISTRAÇÃO LOCAL (ENGENHEIRO, MESTRE, ETC)</v>
      </c>
      <c r="N59" s="572" t="str">
        <f>G59</f>
        <v>GB</v>
      </c>
      <c r="O59" s="816">
        <f>J61</f>
        <v>0</v>
      </c>
    </row>
    <row r="60" spans="2:12" ht="36.75" customHeight="1">
      <c r="B60" s="776" t="s">
        <v>425</v>
      </c>
      <c r="C60" s="1080" t="s">
        <v>426</v>
      </c>
      <c r="D60" s="1080"/>
      <c r="E60" s="1080"/>
      <c r="F60" s="1080"/>
      <c r="G60" s="815" t="s">
        <v>304</v>
      </c>
      <c r="H60" s="798">
        <v>1</v>
      </c>
      <c r="I60" s="897"/>
      <c r="J60" s="574">
        <f>TRUNC((H60*I60),2)</f>
        <v>0</v>
      </c>
      <c r="K60" s="698"/>
      <c r="L60" s="701"/>
    </row>
    <row r="61" spans="2:12" ht="36.75" customHeight="1">
      <c r="B61" s="1081" t="s">
        <v>412</v>
      </c>
      <c r="C61" s="1081"/>
      <c r="D61" s="1081"/>
      <c r="E61" s="1081"/>
      <c r="F61" s="1081"/>
      <c r="G61" s="1081"/>
      <c r="H61" s="1081"/>
      <c r="I61" s="1081"/>
      <c r="J61" s="561">
        <f>SUM(J60)</f>
        <v>0</v>
      </c>
      <c r="K61" s="708"/>
      <c r="L61" s="708"/>
    </row>
    <row r="62" spans="2:10" ht="12.75">
      <c r="B62" s="721"/>
      <c r="C62" s="137"/>
      <c r="D62" s="137"/>
      <c r="E62" s="137"/>
      <c r="F62" s="137"/>
      <c r="G62" s="137"/>
      <c r="H62" s="137"/>
      <c r="I62" s="137"/>
      <c r="J62" s="166"/>
    </row>
    <row r="63" spans="2:15" ht="42" customHeight="1">
      <c r="B63" s="775" t="s">
        <v>67</v>
      </c>
      <c r="C63" s="1065" t="s">
        <v>409</v>
      </c>
      <c r="D63" s="1066"/>
      <c r="E63" s="1066"/>
      <c r="F63" s="1067"/>
      <c r="G63" s="790" t="s">
        <v>294</v>
      </c>
      <c r="H63" s="777"/>
      <c r="I63" s="777"/>
      <c r="J63" s="782"/>
      <c r="K63" s="698" t="s">
        <v>300</v>
      </c>
      <c r="L63" s="699" t="str">
        <f>B63</f>
        <v>AGEHAB.0037</v>
      </c>
      <c r="M63" s="700" t="str">
        <f>C63</f>
        <v>ARMACAO EM TELA DE ACO SOLDADA NERVURADA Q-196, ACO CA-60, 5,0MM, MALHA 10X10CM</v>
      </c>
      <c r="N63" s="700" t="str">
        <f>G63</f>
        <v>KG    </v>
      </c>
      <c r="O63" s="701">
        <f>J68</f>
        <v>0</v>
      </c>
    </row>
    <row r="64" spans="2:10" ht="26.25" customHeight="1">
      <c r="B64" s="637">
        <v>43132</v>
      </c>
      <c r="C64" s="1052" t="s">
        <v>336</v>
      </c>
      <c r="D64" s="1053"/>
      <c r="E64" s="1053"/>
      <c r="F64" s="1053"/>
      <c r="G64" s="565" t="s">
        <v>294</v>
      </c>
      <c r="H64" s="798">
        <v>0.01</v>
      </c>
      <c r="I64" s="894"/>
      <c r="J64" s="783">
        <f>TRUNC((H64*I64),2)</f>
        <v>0</v>
      </c>
    </row>
    <row r="65" spans="2:13" ht="39.75" customHeight="1">
      <c r="B65" s="637">
        <v>7156</v>
      </c>
      <c r="C65" s="1052" t="s">
        <v>363</v>
      </c>
      <c r="D65" s="1053"/>
      <c r="E65" s="1053"/>
      <c r="F65" s="1053"/>
      <c r="G65" s="565" t="s">
        <v>328</v>
      </c>
      <c r="H65" s="798">
        <v>0.3312</v>
      </c>
      <c r="I65" s="894"/>
      <c r="J65" s="574">
        <f>TRUNC((H65*I65),2)</f>
        <v>0</v>
      </c>
      <c r="M65" s="635"/>
    </row>
    <row r="66" spans="2:10" ht="24.75" customHeight="1">
      <c r="B66" s="632" t="s">
        <v>262</v>
      </c>
      <c r="C66" s="1052" t="s">
        <v>401</v>
      </c>
      <c r="D66" s="1053"/>
      <c r="E66" s="1053"/>
      <c r="F66" s="1053"/>
      <c r="G66" s="565" t="s">
        <v>370</v>
      </c>
      <c r="H66" s="798">
        <v>0.02</v>
      </c>
      <c r="I66" s="895"/>
      <c r="J66" s="574">
        <f>TRUNC((H66*I66),2)</f>
        <v>0</v>
      </c>
    </row>
    <row r="67" spans="2:10" ht="24.75" customHeight="1">
      <c r="B67" s="632" t="s">
        <v>259</v>
      </c>
      <c r="C67" s="1052" t="s">
        <v>407</v>
      </c>
      <c r="D67" s="1053"/>
      <c r="E67" s="1053"/>
      <c r="F67" s="1053"/>
      <c r="G67" s="565" t="s">
        <v>370</v>
      </c>
      <c r="H67" s="798">
        <v>0.04</v>
      </c>
      <c r="I67" s="895"/>
      <c r="J67" s="574">
        <f>TRUNC((H67*I67),2)</f>
        <v>0</v>
      </c>
    </row>
    <row r="68" spans="2:10" ht="35.25" customHeight="1">
      <c r="B68" s="1054" t="s">
        <v>412</v>
      </c>
      <c r="C68" s="1055"/>
      <c r="D68" s="1055"/>
      <c r="E68" s="1055"/>
      <c r="F68" s="1055"/>
      <c r="G68" s="1055"/>
      <c r="H68" s="1055"/>
      <c r="I68" s="1056"/>
      <c r="J68" s="561">
        <f>SUM(J64:J67)</f>
        <v>0</v>
      </c>
    </row>
    <row r="69" spans="2:10" ht="19.5" customHeight="1">
      <c r="B69" s="792"/>
      <c r="C69" s="793"/>
      <c r="D69" s="793"/>
      <c r="E69" s="793"/>
      <c r="F69" s="793"/>
      <c r="G69" s="793"/>
      <c r="H69" s="793"/>
      <c r="I69" s="793"/>
      <c r="J69" s="794"/>
    </row>
    <row r="70" spans="2:15" ht="35.25" customHeight="1">
      <c r="B70" s="775" t="s">
        <v>432</v>
      </c>
      <c r="C70" s="1065" t="s">
        <v>433</v>
      </c>
      <c r="D70" s="1066"/>
      <c r="E70" s="1066"/>
      <c r="F70" s="1067"/>
      <c r="G70" s="790" t="s">
        <v>285</v>
      </c>
      <c r="H70" s="817"/>
      <c r="I70" s="818"/>
      <c r="J70" s="818"/>
      <c r="K70" s="708" t="s">
        <v>300</v>
      </c>
      <c r="L70" s="708" t="str">
        <f>B70</f>
        <v>AGEHAB.0047</v>
      </c>
      <c r="M70" s="708" t="str">
        <f>C70</f>
        <v>LANCAMENTO/APLICACAO MANUAL DE CONCRETO EM ESTRUTURAS</v>
      </c>
      <c r="N70" s="708" t="str">
        <f>G70</f>
        <v>M3</v>
      </c>
      <c r="O70" s="822">
        <f>J73</f>
        <v>0</v>
      </c>
    </row>
    <row r="71" spans="2:12" ht="35.25" customHeight="1">
      <c r="B71" s="819" t="s">
        <v>259</v>
      </c>
      <c r="C71" s="1052" t="s">
        <v>407</v>
      </c>
      <c r="D71" s="1053"/>
      <c r="E71" s="1053"/>
      <c r="F71" s="1053"/>
      <c r="G71" s="565" t="s">
        <v>370</v>
      </c>
      <c r="H71" s="820">
        <v>4.5</v>
      </c>
      <c r="I71" s="895"/>
      <c r="J71" s="574">
        <f>TRUNC((H71*I71),2)</f>
        <v>0</v>
      </c>
      <c r="K71" s="708"/>
      <c r="L71" s="708"/>
    </row>
    <row r="72" spans="2:12" ht="35.25" customHeight="1">
      <c r="B72" s="819" t="s">
        <v>258</v>
      </c>
      <c r="C72" s="1052" t="s">
        <v>406</v>
      </c>
      <c r="D72" s="1053"/>
      <c r="E72" s="1053"/>
      <c r="F72" s="1053"/>
      <c r="G72" s="565" t="s">
        <v>370</v>
      </c>
      <c r="H72" s="820">
        <v>1.65</v>
      </c>
      <c r="I72" s="895"/>
      <c r="J72" s="574">
        <f>TRUNC((H72*I72),2)</f>
        <v>0</v>
      </c>
      <c r="K72" s="708"/>
      <c r="L72" s="708"/>
    </row>
    <row r="73" spans="2:12" ht="35.25" customHeight="1">
      <c r="B73" s="1054" t="s">
        <v>412</v>
      </c>
      <c r="C73" s="1055"/>
      <c r="D73" s="1055"/>
      <c r="E73" s="1055"/>
      <c r="F73" s="1055"/>
      <c r="G73" s="1055"/>
      <c r="H73" s="1055"/>
      <c r="I73" s="1056"/>
      <c r="J73" s="821">
        <f>SUM(J71:J72)</f>
        <v>0</v>
      </c>
      <c r="K73" s="708"/>
      <c r="L73" s="708"/>
    </row>
    <row r="74" spans="2:10" ht="15" customHeight="1">
      <c r="B74" s="721"/>
      <c r="C74" s="137"/>
      <c r="D74" s="137"/>
      <c r="E74" s="137"/>
      <c r="F74" s="137"/>
      <c r="G74" s="137"/>
      <c r="H74" s="137"/>
      <c r="I74" s="137"/>
      <c r="J74" s="166"/>
    </row>
    <row r="75" spans="2:15" ht="39" customHeight="1">
      <c r="B75" s="775" t="s">
        <v>68</v>
      </c>
      <c r="C75" s="1082" t="s">
        <v>69</v>
      </c>
      <c r="D75" s="1082"/>
      <c r="E75" s="1082"/>
      <c r="F75" s="1083"/>
      <c r="G75" s="790" t="s">
        <v>269</v>
      </c>
      <c r="H75" s="777"/>
      <c r="I75" s="777"/>
      <c r="J75" s="782"/>
      <c r="K75" s="698" t="s">
        <v>300</v>
      </c>
      <c r="L75" s="699" t="str">
        <f>B75</f>
        <v>AGEHAB.0014</v>
      </c>
      <c r="M75" s="700" t="str">
        <f>C75</f>
        <v>ALVENARIA DE VEDAÇÃO DE BLOCOS CERÂMICOS FURADOS NA HORIZONTAL DE 9X19X19CM (ESPESSURA 9CM), ARGAMASSA DE ASSENTAMENTO COM PREPARO EM BETONEIRA</v>
      </c>
      <c r="N75" s="700" t="str">
        <f>G75</f>
        <v>M2</v>
      </c>
      <c r="O75" s="701">
        <f>J80</f>
        <v>0</v>
      </c>
    </row>
    <row r="76" spans="2:10" ht="26.25" customHeight="1">
      <c r="B76" s="632">
        <v>7266</v>
      </c>
      <c r="C76" s="1052" t="s">
        <v>339</v>
      </c>
      <c r="D76" s="1053"/>
      <c r="E76" s="1053"/>
      <c r="F76" s="1053"/>
      <c r="G76" s="774" t="s">
        <v>327</v>
      </c>
      <c r="H76" s="798">
        <v>0.027</v>
      </c>
      <c r="I76" s="894"/>
      <c r="J76" s="783">
        <f>TRUNC((H76*I76),2)</f>
        <v>0</v>
      </c>
    </row>
    <row r="77" spans="2:16" ht="38.25" customHeight="1">
      <c r="B77" s="633" t="s">
        <v>263</v>
      </c>
      <c r="C77" s="1052" t="s">
        <v>397</v>
      </c>
      <c r="D77" s="1053"/>
      <c r="E77" s="1053"/>
      <c r="F77" s="1053"/>
      <c r="G77" s="565" t="s">
        <v>285</v>
      </c>
      <c r="H77" s="800">
        <v>0.0098</v>
      </c>
      <c r="I77" s="895"/>
      <c r="J77" s="574">
        <f>TRUNC((H77*I77),2)</f>
        <v>0</v>
      </c>
      <c r="K77" s="636"/>
      <c r="L77" s="636"/>
      <c r="M77" s="636"/>
      <c r="N77" s="636"/>
      <c r="O77" s="636"/>
      <c r="P77" s="636"/>
    </row>
    <row r="78" spans="2:10" ht="24.75" customHeight="1">
      <c r="B78" s="632" t="s">
        <v>258</v>
      </c>
      <c r="C78" s="1052" t="s">
        <v>406</v>
      </c>
      <c r="D78" s="1053"/>
      <c r="E78" s="1053"/>
      <c r="F78" s="1053"/>
      <c r="G78" s="565" t="s">
        <v>370</v>
      </c>
      <c r="H78" s="798">
        <v>1</v>
      </c>
      <c r="I78" s="895"/>
      <c r="J78" s="574">
        <f>TRUNC((H78*I78),2)</f>
        <v>0</v>
      </c>
    </row>
    <row r="79" spans="2:10" ht="24.75" customHeight="1">
      <c r="B79" s="632" t="s">
        <v>259</v>
      </c>
      <c r="C79" s="1052" t="s">
        <v>407</v>
      </c>
      <c r="D79" s="1053"/>
      <c r="E79" s="1053"/>
      <c r="F79" s="1053"/>
      <c r="G79" s="565" t="s">
        <v>370</v>
      </c>
      <c r="H79" s="798">
        <v>0.685</v>
      </c>
      <c r="I79" s="895"/>
      <c r="J79" s="574">
        <f>TRUNC((H79*I79),2)</f>
        <v>0</v>
      </c>
    </row>
    <row r="80" spans="2:10" ht="37.5" customHeight="1">
      <c r="B80" s="1054" t="s">
        <v>412</v>
      </c>
      <c r="C80" s="1055"/>
      <c r="D80" s="1055"/>
      <c r="E80" s="1055"/>
      <c r="F80" s="1055"/>
      <c r="G80" s="1055"/>
      <c r="H80" s="1055"/>
      <c r="I80" s="1056"/>
      <c r="J80" s="561">
        <f>SUM(J76:J79)</f>
        <v>0</v>
      </c>
    </row>
    <row r="81" spans="2:10" ht="14.25" customHeight="1">
      <c r="B81" s="792"/>
      <c r="C81" s="793"/>
      <c r="D81" s="793"/>
      <c r="E81" s="793"/>
      <c r="F81" s="793"/>
      <c r="G81" s="793"/>
      <c r="H81" s="793"/>
      <c r="I81" s="793"/>
      <c r="J81" s="795"/>
    </row>
    <row r="82" spans="2:15" ht="35.25" customHeight="1">
      <c r="B82" s="775" t="s">
        <v>314</v>
      </c>
      <c r="C82" s="1082" t="s">
        <v>313</v>
      </c>
      <c r="D82" s="1082"/>
      <c r="E82" s="1082"/>
      <c r="F82" s="1083"/>
      <c r="G82" s="790" t="s">
        <v>255</v>
      </c>
      <c r="H82" s="777"/>
      <c r="I82" s="777"/>
      <c r="J82" s="782"/>
      <c r="K82" s="698" t="s">
        <v>300</v>
      </c>
      <c r="L82" s="699" t="str">
        <f>B82</f>
        <v>AGEHAB.0100</v>
      </c>
      <c r="M82" s="700" t="str">
        <f>C82</f>
        <v>RAMAL PREDIAL EM TUBO PEAD 20MM - FORNECIMENTO, INSTALAÇÃO, ESCAVAÇÃO E REATERRO</v>
      </c>
      <c r="N82" s="700" t="str">
        <f>G82</f>
        <v>M</v>
      </c>
      <c r="O82" s="701">
        <f>J88</f>
        <v>0</v>
      </c>
    </row>
    <row r="83" spans="2:10" ht="30.75" customHeight="1">
      <c r="B83" s="632">
        <v>9813</v>
      </c>
      <c r="C83" s="1052" t="s">
        <v>366</v>
      </c>
      <c r="D83" s="1053"/>
      <c r="E83" s="1053"/>
      <c r="F83" s="1053"/>
      <c r="G83" s="565" t="s">
        <v>329</v>
      </c>
      <c r="H83" s="798">
        <v>1</v>
      </c>
      <c r="I83" s="894"/>
      <c r="J83" s="783">
        <f>TRUNC((H83*I83),2)</f>
        <v>0</v>
      </c>
    </row>
    <row r="84" spans="2:10" ht="22.5" customHeight="1">
      <c r="B84" s="638" t="s">
        <v>265</v>
      </c>
      <c r="C84" s="1052" t="s">
        <v>390</v>
      </c>
      <c r="D84" s="1053"/>
      <c r="E84" s="1053"/>
      <c r="F84" s="1053"/>
      <c r="G84" s="565" t="s">
        <v>285</v>
      </c>
      <c r="H84" s="798">
        <v>0.18</v>
      </c>
      <c r="I84" s="895"/>
      <c r="J84" s="574">
        <f>TRUNC((H84*I84),2)</f>
        <v>0</v>
      </c>
    </row>
    <row r="85" spans="2:10" ht="22.5" customHeight="1">
      <c r="B85" s="638" t="s">
        <v>290</v>
      </c>
      <c r="C85" s="1052" t="s">
        <v>393</v>
      </c>
      <c r="D85" s="1053"/>
      <c r="E85" s="1053"/>
      <c r="F85" s="1053"/>
      <c r="G85" s="565" t="s">
        <v>285</v>
      </c>
      <c r="H85" s="798">
        <v>0.18</v>
      </c>
      <c r="I85" s="895"/>
      <c r="J85" s="574">
        <f>TRUNC((H85*I85),2)</f>
        <v>0</v>
      </c>
    </row>
    <row r="86" spans="2:10" ht="22.5" customHeight="1">
      <c r="B86" s="638" t="s">
        <v>259</v>
      </c>
      <c r="C86" s="1052" t="s">
        <v>407</v>
      </c>
      <c r="D86" s="1053"/>
      <c r="E86" s="1053"/>
      <c r="F86" s="1053"/>
      <c r="G86" s="565" t="s">
        <v>370</v>
      </c>
      <c r="H86" s="798">
        <v>0.04</v>
      </c>
      <c r="I86" s="898"/>
      <c r="J86" s="574">
        <f>TRUNC((H86*I86),2)</f>
        <v>0</v>
      </c>
    </row>
    <row r="87" spans="2:10" ht="22.5" customHeight="1">
      <c r="B87" s="638" t="s">
        <v>257</v>
      </c>
      <c r="C87" s="1052" t="s">
        <v>405</v>
      </c>
      <c r="D87" s="1053"/>
      <c r="E87" s="1053"/>
      <c r="F87" s="1053"/>
      <c r="G87" s="565" t="s">
        <v>370</v>
      </c>
      <c r="H87" s="798">
        <v>0.04</v>
      </c>
      <c r="I87" s="895"/>
      <c r="J87" s="574">
        <f>TRUNC((H87*I87),2)</f>
        <v>0</v>
      </c>
    </row>
    <row r="88" spans="2:10" ht="38.25" customHeight="1">
      <c r="B88" s="1054" t="s">
        <v>412</v>
      </c>
      <c r="C88" s="1055"/>
      <c r="D88" s="1055"/>
      <c r="E88" s="1055"/>
      <c r="F88" s="1055"/>
      <c r="G88" s="1055"/>
      <c r="H88" s="1055"/>
      <c r="I88" s="1056"/>
      <c r="J88" s="561">
        <f>SUM(J83:J87)</f>
        <v>0</v>
      </c>
    </row>
    <row r="89" spans="2:10" ht="14.25" customHeight="1">
      <c r="B89" s="721"/>
      <c r="C89" s="137"/>
      <c r="D89" s="137"/>
      <c r="E89" s="137"/>
      <c r="F89" s="137"/>
      <c r="G89" s="137"/>
      <c r="H89" s="137"/>
      <c r="I89" s="137"/>
      <c r="J89" s="166"/>
    </row>
    <row r="90" spans="2:15" ht="42.75" customHeight="1">
      <c r="B90" s="775" t="s">
        <v>70</v>
      </c>
      <c r="C90" s="1063" t="s">
        <v>264</v>
      </c>
      <c r="D90" s="1063"/>
      <c r="E90" s="1063"/>
      <c r="F90" s="1064"/>
      <c r="G90" s="790" t="s">
        <v>408</v>
      </c>
      <c r="H90" s="777"/>
      <c r="I90" s="777"/>
      <c r="J90" s="782"/>
      <c r="K90" s="698" t="s">
        <v>300</v>
      </c>
      <c r="L90" s="699" t="str">
        <f>B90</f>
        <v>AGEHAB.0023</v>
      </c>
      <c r="M90" s="700" t="str">
        <f>C90</f>
        <v>ADAPTADOR DE COMPRESSAO EM POLIPROPILENO (PP), PARA TUBO EM PEAD, 20 MM X 3/4'', PARA LIGACAO PREDIAL DE AGUA (NTS 179)</v>
      </c>
      <c r="N90" s="700" t="str">
        <f>G90</f>
        <v>UN </v>
      </c>
      <c r="O90" s="701">
        <f>J93</f>
        <v>0</v>
      </c>
    </row>
    <row r="91" spans="2:10" ht="31.5" customHeight="1">
      <c r="B91" s="631">
        <v>61</v>
      </c>
      <c r="C91" s="1052" t="s">
        <v>330</v>
      </c>
      <c r="D91" s="1053"/>
      <c r="E91" s="1053"/>
      <c r="F91" s="1053"/>
      <c r="G91" s="565" t="s">
        <v>293</v>
      </c>
      <c r="H91" s="802">
        <v>1</v>
      </c>
      <c r="I91" s="894"/>
      <c r="J91" s="783">
        <f>TRUNC((H91*I91),2)</f>
        <v>0</v>
      </c>
    </row>
    <row r="92" spans="2:10" ht="24.75" customHeight="1">
      <c r="B92" s="575" t="s">
        <v>259</v>
      </c>
      <c r="C92" s="1052" t="s">
        <v>407</v>
      </c>
      <c r="D92" s="1053"/>
      <c r="E92" s="1053"/>
      <c r="F92" s="1053"/>
      <c r="G92" s="565" t="s">
        <v>370</v>
      </c>
      <c r="H92" s="801">
        <v>0.03</v>
      </c>
      <c r="I92" s="899"/>
      <c r="J92" s="574">
        <f>TRUNC((H92*I92),2)</f>
        <v>0</v>
      </c>
    </row>
    <row r="93" spans="2:10" ht="34.5" customHeight="1">
      <c r="B93" s="1054" t="s">
        <v>412</v>
      </c>
      <c r="C93" s="1055"/>
      <c r="D93" s="1055"/>
      <c r="E93" s="1055"/>
      <c r="F93" s="1055"/>
      <c r="G93" s="1055"/>
      <c r="H93" s="1055"/>
      <c r="I93" s="1056"/>
      <c r="J93" s="561">
        <f>SUM(J91:J92)</f>
        <v>0</v>
      </c>
    </row>
    <row r="94" spans="2:10" ht="16.5" customHeight="1">
      <c r="B94" s="721"/>
      <c r="C94" s="137"/>
      <c r="D94" s="137"/>
      <c r="E94" s="137"/>
      <c r="F94" s="137"/>
      <c r="G94" s="137"/>
      <c r="H94" s="137"/>
      <c r="I94" s="137"/>
      <c r="J94" s="166"/>
    </row>
    <row r="95" spans="2:15" ht="35.25" customHeight="1">
      <c r="B95" s="775" t="s">
        <v>82</v>
      </c>
      <c r="C95" s="1065" t="s">
        <v>83</v>
      </c>
      <c r="D95" s="1066"/>
      <c r="E95" s="1066"/>
      <c r="F95" s="1067"/>
      <c r="G95" s="780" t="s">
        <v>285</v>
      </c>
      <c r="H95" s="777"/>
      <c r="I95" s="778"/>
      <c r="J95" s="573"/>
      <c r="K95" s="698" t="s">
        <v>300</v>
      </c>
      <c r="L95" s="699" t="str">
        <f>B95</f>
        <v>AGEHAB.0062</v>
      </c>
      <c r="M95" s="700" t="str">
        <f>C95</f>
        <v>REATERRO MANUAL SEM APILOAMENTO</v>
      </c>
      <c r="N95" s="700" t="str">
        <f>G95</f>
        <v>M3</v>
      </c>
      <c r="O95" s="701">
        <f>J97</f>
        <v>0</v>
      </c>
    </row>
    <row r="96" spans="2:10" ht="24.75" customHeight="1">
      <c r="B96" s="784" t="s">
        <v>259</v>
      </c>
      <c r="C96" s="1062" t="s">
        <v>407</v>
      </c>
      <c r="D96" s="1053"/>
      <c r="E96" s="1053"/>
      <c r="F96" s="1053"/>
      <c r="G96" s="565" t="s">
        <v>370</v>
      </c>
      <c r="H96" s="801">
        <v>0.45</v>
      </c>
      <c r="I96" s="899"/>
      <c r="J96" s="574">
        <f>TRUNC((H96*I96),2)</f>
        <v>0</v>
      </c>
    </row>
    <row r="97" spans="2:10" ht="34.5" customHeight="1">
      <c r="B97" s="1054" t="s">
        <v>412</v>
      </c>
      <c r="C97" s="1055"/>
      <c r="D97" s="1055"/>
      <c r="E97" s="1055"/>
      <c r="F97" s="1055"/>
      <c r="G97" s="1055"/>
      <c r="H97" s="1055"/>
      <c r="I97" s="1056"/>
      <c r="J97" s="561">
        <f>SUM(J96)</f>
        <v>0</v>
      </c>
    </row>
    <row r="98" spans="2:10" ht="15" customHeight="1">
      <c r="B98" s="792"/>
      <c r="C98" s="793"/>
      <c r="D98" s="793"/>
      <c r="E98" s="793"/>
      <c r="F98" s="793"/>
      <c r="G98" s="793"/>
      <c r="H98" s="793"/>
      <c r="I98" s="793"/>
      <c r="J98" s="795"/>
    </row>
    <row r="99" spans="2:15" ht="38.25" customHeight="1">
      <c r="B99" s="775" t="s">
        <v>84</v>
      </c>
      <c r="C99" s="1061" t="s">
        <v>417</v>
      </c>
      <c r="D99" s="1061"/>
      <c r="E99" s="1061"/>
      <c r="F99" s="1061"/>
      <c r="G99" s="791" t="s">
        <v>293</v>
      </c>
      <c r="H99" s="777"/>
      <c r="I99" s="777"/>
      <c r="J99" s="782"/>
      <c r="K99" s="698" t="s">
        <v>300</v>
      </c>
      <c r="L99" s="699" t="str">
        <f>B99</f>
        <v>AGEHAB.0031</v>
      </c>
      <c r="M99" s="700" t="str">
        <f>C99</f>
        <v>CAIXA DE INSPEÇÃO SIMPLES EM CONCRETO PRE-MOLDADO COM TAMPA, DIMENSOES DE 0,40 X 0,40 X 0,40 M - FORNECIMENTO E INSTALACAO</v>
      </c>
      <c r="N99" s="700" t="str">
        <f>G99</f>
        <v>UN    </v>
      </c>
      <c r="O99" s="701">
        <f>J104</f>
        <v>0</v>
      </c>
    </row>
    <row r="100" spans="2:10" ht="27" customHeight="1">
      <c r="B100" s="638">
        <v>1379</v>
      </c>
      <c r="C100" s="1074" t="s">
        <v>345</v>
      </c>
      <c r="D100" s="1075"/>
      <c r="E100" s="1075"/>
      <c r="F100" s="1062"/>
      <c r="G100" s="565" t="s">
        <v>294</v>
      </c>
      <c r="H100" s="798">
        <v>0.8</v>
      </c>
      <c r="I100" s="894"/>
      <c r="J100" s="783">
        <f>TRUNC((H100*I100),2)</f>
        <v>0</v>
      </c>
    </row>
    <row r="101" spans="2:10" ht="22.5" customHeight="1">
      <c r="B101" s="632">
        <v>41628</v>
      </c>
      <c r="C101" s="1052" t="s">
        <v>342</v>
      </c>
      <c r="D101" s="1053"/>
      <c r="E101" s="1053"/>
      <c r="F101" s="1053"/>
      <c r="G101" s="565" t="s">
        <v>293</v>
      </c>
      <c r="H101" s="798">
        <v>1</v>
      </c>
      <c r="I101" s="894"/>
      <c r="J101" s="574">
        <f>TRUNC((H101*I101),2)</f>
        <v>0</v>
      </c>
    </row>
    <row r="102" spans="2:10" ht="22.5" customHeight="1">
      <c r="B102" s="632" t="s">
        <v>257</v>
      </c>
      <c r="C102" s="1052" t="s">
        <v>405</v>
      </c>
      <c r="D102" s="1053"/>
      <c r="E102" s="1053"/>
      <c r="F102" s="1053"/>
      <c r="G102" s="565" t="s">
        <v>370</v>
      </c>
      <c r="H102" s="798">
        <v>0.0642</v>
      </c>
      <c r="I102" s="895"/>
      <c r="J102" s="574">
        <f>TRUNC((H102*I102),2)</f>
        <v>0</v>
      </c>
    </row>
    <row r="103" spans="2:10" ht="22.5" customHeight="1">
      <c r="B103" s="632" t="s">
        <v>259</v>
      </c>
      <c r="C103" s="1052" t="s">
        <v>407</v>
      </c>
      <c r="D103" s="1053"/>
      <c r="E103" s="1053"/>
      <c r="F103" s="1053"/>
      <c r="G103" s="565" t="s">
        <v>370</v>
      </c>
      <c r="H103" s="798">
        <v>0.0642</v>
      </c>
      <c r="I103" s="895"/>
      <c r="J103" s="574">
        <f>TRUNC((H103*I103),2)</f>
        <v>0</v>
      </c>
    </row>
    <row r="104" spans="2:10" ht="36" customHeight="1">
      <c r="B104" s="1054" t="s">
        <v>412</v>
      </c>
      <c r="C104" s="1055"/>
      <c r="D104" s="1055"/>
      <c r="E104" s="1055"/>
      <c r="F104" s="1055"/>
      <c r="G104" s="1055"/>
      <c r="H104" s="1055"/>
      <c r="I104" s="1056"/>
      <c r="J104" s="561">
        <f>SUM(J100:J103)</f>
        <v>0</v>
      </c>
    </row>
    <row r="105" spans="2:10" ht="22.5" customHeight="1">
      <c r="B105" s="792"/>
      <c r="C105" s="793"/>
      <c r="D105" s="793"/>
      <c r="E105" s="793"/>
      <c r="F105" s="793"/>
      <c r="G105" s="793"/>
      <c r="H105" s="793"/>
      <c r="I105" s="793"/>
      <c r="J105" s="794"/>
    </row>
    <row r="106" spans="2:15" ht="34.5" customHeight="1">
      <c r="B106" s="775" t="s">
        <v>317</v>
      </c>
      <c r="C106" s="1047" t="s">
        <v>318</v>
      </c>
      <c r="D106" s="1048"/>
      <c r="E106" s="1048"/>
      <c r="F106" s="1049"/>
      <c r="G106" s="790" t="s">
        <v>293</v>
      </c>
      <c r="H106" s="777"/>
      <c r="I106" s="777"/>
      <c r="J106" s="782"/>
      <c r="K106" s="698" t="s">
        <v>300</v>
      </c>
      <c r="L106" s="699" t="str">
        <f>B106</f>
        <v>AGEHAB.0081</v>
      </c>
      <c r="M106" s="700" t="str">
        <f>C106</f>
        <v>JUNCAO SIMPLES PVC P/ ESG PREDIAL DN 100X50MM</v>
      </c>
      <c r="N106" s="700" t="str">
        <f>G106</f>
        <v>UN    </v>
      </c>
      <c r="O106" s="701">
        <f>J113</f>
        <v>0</v>
      </c>
    </row>
    <row r="107" spans="2:10" ht="22.5" customHeight="1">
      <c r="B107" s="632">
        <v>296</v>
      </c>
      <c r="C107" s="1052" t="s">
        <v>332</v>
      </c>
      <c r="D107" s="1053"/>
      <c r="E107" s="1053"/>
      <c r="F107" s="1053"/>
      <c r="G107" s="565" t="s">
        <v>293</v>
      </c>
      <c r="H107" s="798">
        <v>1</v>
      </c>
      <c r="I107" s="894"/>
      <c r="J107" s="783">
        <f aca="true" t="shared" si="3" ref="J107:J112">TRUNC((H107*I107),2)</f>
        <v>0</v>
      </c>
    </row>
    <row r="108" spans="2:10" ht="22.5" customHeight="1">
      <c r="B108" s="632">
        <v>301</v>
      </c>
      <c r="C108" s="1052" t="s">
        <v>333</v>
      </c>
      <c r="D108" s="1053"/>
      <c r="E108" s="1053"/>
      <c r="F108" s="1053"/>
      <c r="G108" s="565" t="s">
        <v>293</v>
      </c>
      <c r="H108" s="798">
        <v>1</v>
      </c>
      <c r="I108" s="894"/>
      <c r="J108" s="574">
        <f t="shared" si="3"/>
        <v>0</v>
      </c>
    </row>
    <row r="109" spans="2:10" ht="22.5" customHeight="1">
      <c r="B109" s="632">
        <v>3659</v>
      </c>
      <c r="C109" s="1052" t="s">
        <v>347</v>
      </c>
      <c r="D109" s="1053"/>
      <c r="E109" s="1053"/>
      <c r="F109" s="1053"/>
      <c r="G109" s="565" t="s">
        <v>293</v>
      </c>
      <c r="H109" s="798">
        <v>1</v>
      </c>
      <c r="I109" s="894"/>
      <c r="J109" s="574">
        <f t="shared" si="3"/>
        <v>0</v>
      </c>
    </row>
    <row r="110" spans="2:14" ht="30.75" customHeight="1">
      <c r="B110" s="632">
        <v>20078</v>
      </c>
      <c r="C110" s="1052" t="s">
        <v>348</v>
      </c>
      <c r="D110" s="1053"/>
      <c r="E110" s="1053"/>
      <c r="F110" s="1053"/>
      <c r="G110" s="565" t="s">
        <v>293</v>
      </c>
      <c r="H110" s="798">
        <v>0.04</v>
      </c>
      <c r="I110" s="894"/>
      <c r="J110" s="574">
        <f t="shared" si="3"/>
        <v>0</v>
      </c>
      <c r="N110" s="747"/>
    </row>
    <row r="111" spans="2:10" ht="22.5" customHeight="1">
      <c r="B111" s="632" t="s">
        <v>276</v>
      </c>
      <c r="C111" s="1052" t="s">
        <v>402</v>
      </c>
      <c r="D111" s="1053"/>
      <c r="E111" s="1053"/>
      <c r="F111" s="1053"/>
      <c r="G111" s="565" t="s">
        <v>370</v>
      </c>
      <c r="H111" s="797">
        <v>0.06</v>
      </c>
      <c r="I111" s="895"/>
      <c r="J111" s="574">
        <f t="shared" si="3"/>
        <v>0</v>
      </c>
    </row>
    <row r="112" spans="2:10" ht="22.5" customHeight="1">
      <c r="B112" s="632" t="s">
        <v>257</v>
      </c>
      <c r="C112" s="1052" t="s">
        <v>405</v>
      </c>
      <c r="D112" s="1053"/>
      <c r="E112" s="1053"/>
      <c r="F112" s="1053"/>
      <c r="G112" s="565" t="s">
        <v>370</v>
      </c>
      <c r="H112" s="797">
        <v>0.06</v>
      </c>
      <c r="I112" s="895"/>
      <c r="J112" s="574">
        <f t="shared" si="3"/>
        <v>0</v>
      </c>
    </row>
    <row r="113" spans="2:10" ht="37.5" customHeight="1">
      <c r="B113" s="1054" t="s">
        <v>412</v>
      </c>
      <c r="C113" s="1055"/>
      <c r="D113" s="1055"/>
      <c r="E113" s="1055"/>
      <c r="F113" s="1055"/>
      <c r="G113" s="1055"/>
      <c r="H113" s="1055"/>
      <c r="I113" s="1056"/>
      <c r="J113" s="561">
        <f>SUM(J107:J112)</f>
        <v>0</v>
      </c>
    </row>
    <row r="114" spans="2:10" ht="17.25" customHeight="1">
      <c r="B114" s="721"/>
      <c r="C114" s="137"/>
      <c r="D114" s="137"/>
      <c r="E114" s="137"/>
      <c r="F114" s="137"/>
      <c r="G114" s="137"/>
      <c r="H114" s="137"/>
      <c r="I114" s="137"/>
      <c r="J114" s="166"/>
    </row>
    <row r="115" spans="2:15" ht="33" customHeight="1">
      <c r="B115" s="781" t="s">
        <v>319</v>
      </c>
      <c r="C115" s="1047" t="s">
        <v>413</v>
      </c>
      <c r="D115" s="1048"/>
      <c r="E115" s="1048"/>
      <c r="F115" s="1049"/>
      <c r="G115" s="790" t="s">
        <v>293</v>
      </c>
      <c r="H115" s="777"/>
      <c r="I115" s="777"/>
      <c r="J115" s="782"/>
      <c r="K115" s="698" t="s">
        <v>300</v>
      </c>
      <c r="L115" s="699" t="str">
        <f>B115</f>
        <v>AGEHAB.0082</v>
      </c>
      <c r="M115" s="700" t="str">
        <f>C115</f>
        <v>'TE SANITARIO, PVC, DN 100 X 50 MM, SÉRIE NORMAL, PARA ESGOTO PREDIAL</v>
      </c>
      <c r="N115" s="700" t="str">
        <f>G115</f>
        <v>UN    </v>
      </c>
      <c r="O115" s="701">
        <f>J122</f>
        <v>0</v>
      </c>
    </row>
    <row r="116" spans="2:10" ht="22.5" customHeight="1">
      <c r="B116" s="632">
        <v>296</v>
      </c>
      <c r="C116" s="1052" t="s">
        <v>332</v>
      </c>
      <c r="D116" s="1053"/>
      <c r="E116" s="1053"/>
      <c r="F116" s="1053"/>
      <c r="G116" s="565" t="s">
        <v>293</v>
      </c>
      <c r="H116" s="797">
        <v>2</v>
      </c>
      <c r="I116" s="894"/>
      <c r="J116" s="783">
        <f aca="true" t="shared" si="4" ref="J116:J121">TRUNC((H116*I116),2)</f>
        <v>0</v>
      </c>
    </row>
    <row r="117" spans="2:10" ht="22.5" customHeight="1">
      <c r="B117" s="632">
        <v>301</v>
      </c>
      <c r="C117" s="1052" t="s">
        <v>333</v>
      </c>
      <c r="D117" s="1053"/>
      <c r="E117" s="1053"/>
      <c r="F117" s="1053"/>
      <c r="G117" s="565" t="s">
        <v>293</v>
      </c>
      <c r="H117" s="797">
        <v>1</v>
      </c>
      <c r="I117" s="894"/>
      <c r="J117" s="574">
        <f t="shared" si="4"/>
        <v>0</v>
      </c>
    </row>
    <row r="118" spans="2:10" ht="22.5" customHeight="1">
      <c r="B118" s="632">
        <v>11655</v>
      </c>
      <c r="C118" s="1052" t="s">
        <v>362</v>
      </c>
      <c r="D118" s="1053"/>
      <c r="E118" s="1053"/>
      <c r="F118" s="1053"/>
      <c r="G118" s="565" t="s">
        <v>293</v>
      </c>
      <c r="H118" s="797">
        <v>1</v>
      </c>
      <c r="I118" s="894"/>
      <c r="J118" s="574">
        <f t="shared" si="4"/>
        <v>0</v>
      </c>
    </row>
    <row r="119" spans="2:10" ht="37.5" customHeight="1">
      <c r="B119" s="632">
        <v>20078</v>
      </c>
      <c r="C119" s="1052" t="s">
        <v>348</v>
      </c>
      <c r="D119" s="1053"/>
      <c r="E119" s="1053"/>
      <c r="F119" s="1053"/>
      <c r="G119" s="565" t="s">
        <v>293</v>
      </c>
      <c r="H119" s="797">
        <v>0.092</v>
      </c>
      <c r="I119" s="894"/>
      <c r="J119" s="574">
        <f t="shared" si="4"/>
        <v>0</v>
      </c>
    </row>
    <row r="120" spans="2:10" ht="22.5" customHeight="1">
      <c r="B120" s="632" t="s">
        <v>276</v>
      </c>
      <c r="C120" s="1052" t="s">
        <v>402</v>
      </c>
      <c r="D120" s="1053"/>
      <c r="E120" s="1053"/>
      <c r="F120" s="1053"/>
      <c r="G120" s="565" t="s">
        <v>370</v>
      </c>
      <c r="H120" s="797">
        <v>0.33</v>
      </c>
      <c r="I120" s="895"/>
      <c r="J120" s="574">
        <f t="shared" si="4"/>
        <v>0</v>
      </c>
    </row>
    <row r="121" spans="2:10" ht="22.5" customHeight="1">
      <c r="B121" s="632" t="s">
        <v>257</v>
      </c>
      <c r="C121" s="1052" t="s">
        <v>405</v>
      </c>
      <c r="D121" s="1053"/>
      <c r="E121" s="1053"/>
      <c r="F121" s="1053"/>
      <c r="G121" s="565" t="s">
        <v>370</v>
      </c>
      <c r="H121" s="797">
        <v>0.33</v>
      </c>
      <c r="I121" s="895"/>
      <c r="J121" s="574">
        <f t="shared" si="4"/>
        <v>0</v>
      </c>
    </row>
    <row r="122" spans="2:10" ht="35.25" customHeight="1">
      <c r="B122" s="1054" t="s">
        <v>412</v>
      </c>
      <c r="C122" s="1055"/>
      <c r="D122" s="1055"/>
      <c r="E122" s="1055"/>
      <c r="F122" s="1055"/>
      <c r="G122" s="1055"/>
      <c r="H122" s="1055"/>
      <c r="I122" s="1056"/>
      <c r="J122" s="561">
        <f>SUM(J116:J121)</f>
        <v>0</v>
      </c>
    </row>
    <row r="123" spans="2:10" ht="15.75" customHeight="1">
      <c r="B123" s="792"/>
      <c r="C123" s="793"/>
      <c r="D123" s="793"/>
      <c r="E123" s="793"/>
      <c r="F123" s="793"/>
      <c r="G123" s="793"/>
      <c r="H123" s="793"/>
      <c r="I123" s="793"/>
      <c r="J123" s="795"/>
    </row>
    <row r="124" spans="2:15" ht="30" customHeight="1">
      <c r="B124" s="775" t="s">
        <v>320</v>
      </c>
      <c r="C124" s="1047" t="s">
        <v>321</v>
      </c>
      <c r="D124" s="1048"/>
      <c r="E124" s="1048"/>
      <c r="F124" s="1049"/>
      <c r="G124" s="790" t="s">
        <v>293</v>
      </c>
      <c r="H124" s="777"/>
      <c r="I124" s="777"/>
      <c r="J124" s="782"/>
      <c r="K124" s="698" t="s">
        <v>300</v>
      </c>
      <c r="L124" s="699" t="str">
        <f>B124</f>
        <v>AGEHAB.0001</v>
      </c>
      <c r="M124" s="700" t="str">
        <f>C124</f>
        <v>FOSSA SÉPTICA PRÉ-MOLDADA, Ø 1,20M, ALTURA 1,50M, C/ LASTRO DE CONCRETO</v>
      </c>
      <c r="N124" s="700" t="str">
        <f>G124</f>
        <v>UN    </v>
      </c>
      <c r="O124" s="701">
        <f>J136</f>
        <v>0</v>
      </c>
    </row>
    <row r="125" spans="2:10" ht="29.25" customHeight="1">
      <c r="B125" s="632">
        <v>7091</v>
      </c>
      <c r="C125" s="1057" t="s">
        <v>361</v>
      </c>
      <c r="D125" s="1058"/>
      <c r="E125" s="1058"/>
      <c r="F125" s="1059"/>
      <c r="G125" s="565" t="s">
        <v>293</v>
      </c>
      <c r="H125" s="798">
        <v>1</v>
      </c>
      <c r="I125" s="894"/>
      <c r="J125" s="783">
        <f aca="true" t="shared" si="5" ref="J125:J133">TRUNC((H125*I125),2)</f>
        <v>0</v>
      </c>
    </row>
    <row r="126" spans="2:10" ht="22.5" customHeight="1">
      <c r="B126" s="632">
        <v>3520</v>
      </c>
      <c r="C126" s="1052" t="s">
        <v>346</v>
      </c>
      <c r="D126" s="1051"/>
      <c r="E126" s="1051"/>
      <c r="F126" s="1051"/>
      <c r="G126" s="565" t="s">
        <v>293</v>
      </c>
      <c r="H126" s="798">
        <v>1</v>
      </c>
      <c r="I126" s="894"/>
      <c r="J126" s="574">
        <f t="shared" si="5"/>
        <v>0</v>
      </c>
    </row>
    <row r="127" spans="2:10" ht="22.5" customHeight="1">
      <c r="B127" s="632">
        <v>9836</v>
      </c>
      <c r="C127" s="1052" t="s">
        <v>367</v>
      </c>
      <c r="D127" s="1051"/>
      <c r="E127" s="1051"/>
      <c r="F127" s="1051"/>
      <c r="G127" s="565" t="s">
        <v>329</v>
      </c>
      <c r="H127" s="798">
        <v>0.7</v>
      </c>
      <c r="I127" s="894"/>
      <c r="J127" s="574">
        <f t="shared" si="5"/>
        <v>0</v>
      </c>
    </row>
    <row r="128" spans="2:15" ht="34.5" customHeight="1">
      <c r="B128" s="749">
        <v>12551</v>
      </c>
      <c r="C128" s="1052" t="s">
        <v>335</v>
      </c>
      <c r="D128" s="1051"/>
      <c r="E128" s="1051"/>
      <c r="F128" s="1051"/>
      <c r="G128" s="565" t="s">
        <v>293</v>
      </c>
      <c r="H128" s="799">
        <v>3</v>
      </c>
      <c r="I128" s="894"/>
      <c r="J128" s="574">
        <f t="shared" si="5"/>
        <v>0</v>
      </c>
      <c r="K128" s="807" t="s">
        <v>419</v>
      </c>
      <c r="L128" s="809" t="s">
        <v>420</v>
      </c>
      <c r="M128" s="807" t="s">
        <v>421</v>
      </c>
      <c r="N128" s="808">
        <v>0.05</v>
      </c>
      <c r="O128" s="748"/>
    </row>
    <row r="129" spans="2:15" ht="26.25" customHeight="1">
      <c r="B129" s="776">
        <v>41615</v>
      </c>
      <c r="C129" s="1052" t="s">
        <v>360</v>
      </c>
      <c r="D129" s="1051"/>
      <c r="E129" s="1051"/>
      <c r="F129" s="1051"/>
      <c r="G129" s="565" t="s">
        <v>293</v>
      </c>
      <c r="H129" s="799">
        <v>1</v>
      </c>
      <c r="I129" s="894"/>
      <c r="J129" s="574">
        <f t="shared" si="5"/>
        <v>0</v>
      </c>
      <c r="K129" s="748"/>
      <c r="L129" s="748"/>
      <c r="M129" s="748"/>
      <c r="N129" s="748"/>
      <c r="O129" s="748"/>
    </row>
    <row r="130" spans="2:15" ht="42" customHeight="1">
      <c r="B130" s="750" t="s">
        <v>263</v>
      </c>
      <c r="C130" s="1052" t="s">
        <v>397</v>
      </c>
      <c r="D130" s="1051"/>
      <c r="E130" s="1051"/>
      <c r="F130" s="1051"/>
      <c r="G130" s="565" t="s">
        <v>285</v>
      </c>
      <c r="H130" s="810">
        <v>0.005655</v>
      </c>
      <c r="I130" s="895"/>
      <c r="J130" s="574">
        <f t="shared" si="5"/>
        <v>0</v>
      </c>
      <c r="K130" s="751" t="s">
        <v>418</v>
      </c>
      <c r="L130" s="751"/>
      <c r="M130" s="358">
        <f>3.77*0.05</f>
        <v>0.1885</v>
      </c>
      <c r="N130" s="358">
        <f>M130*0.01</f>
        <v>0.001885</v>
      </c>
      <c r="O130" s="358">
        <f>N130*3</f>
        <v>0.005655</v>
      </c>
    </row>
    <row r="131" spans="2:12" ht="30" customHeight="1">
      <c r="B131" s="633" t="s">
        <v>391</v>
      </c>
      <c r="C131" s="1052" t="s">
        <v>392</v>
      </c>
      <c r="D131" s="1051"/>
      <c r="E131" s="1051"/>
      <c r="F131" s="1051"/>
      <c r="G131" s="565" t="s">
        <v>285</v>
      </c>
      <c r="H131" s="800">
        <v>0.29</v>
      </c>
      <c r="I131" s="895"/>
      <c r="J131" s="574">
        <f t="shared" si="5"/>
        <v>0</v>
      </c>
      <c r="K131" s="751"/>
      <c r="L131" s="751"/>
    </row>
    <row r="132" spans="2:13" ht="24.75" customHeight="1">
      <c r="B132" s="633" t="s">
        <v>265</v>
      </c>
      <c r="C132" s="1050" t="s">
        <v>423</v>
      </c>
      <c r="D132" s="1051"/>
      <c r="E132" s="1051"/>
      <c r="F132" s="1051"/>
      <c r="G132" s="565" t="s">
        <v>285</v>
      </c>
      <c r="H132" s="800">
        <v>1.99</v>
      </c>
      <c r="I132" s="895"/>
      <c r="J132" s="574">
        <f t="shared" si="5"/>
        <v>0</v>
      </c>
      <c r="K132" s="751"/>
      <c r="L132" s="751"/>
      <c r="M132" s="751" t="e">
        <f>L128*N128</f>
        <v>#VALUE!</v>
      </c>
    </row>
    <row r="133" spans="2:12" ht="22.5" customHeight="1">
      <c r="B133" s="633" t="s">
        <v>266</v>
      </c>
      <c r="C133" s="1052" t="s">
        <v>371</v>
      </c>
      <c r="D133" s="1051"/>
      <c r="E133" s="1051"/>
      <c r="F133" s="1051"/>
      <c r="G133" s="565" t="s">
        <v>269</v>
      </c>
      <c r="H133" s="800">
        <v>1.3</v>
      </c>
      <c r="I133" s="895"/>
      <c r="J133" s="574">
        <f t="shared" si="5"/>
        <v>0</v>
      </c>
      <c r="K133" s="751"/>
      <c r="L133" s="751" t="s">
        <v>422</v>
      </c>
    </row>
    <row r="134" spans="2:10" ht="23.25" customHeight="1">
      <c r="B134" s="632" t="s">
        <v>259</v>
      </c>
      <c r="C134" s="1052" t="s">
        <v>407</v>
      </c>
      <c r="D134" s="1053"/>
      <c r="E134" s="1053"/>
      <c r="F134" s="1053"/>
      <c r="G134" s="565" t="s">
        <v>370</v>
      </c>
      <c r="H134" s="798">
        <v>3</v>
      </c>
      <c r="I134" s="895"/>
      <c r="J134" s="574">
        <f>TRUNC((H134*I134),2)</f>
        <v>0</v>
      </c>
    </row>
    <row r="135" spans="2:10" ht="25.5" customHeight="1">
      <c r="B135" s="632" t="s">
        <v>258</v>
      </c>
      <c r="C135" s="1052" t="s">
        <v>406</v>
      </c>
      <c r="D135" s="1053"/>
      <c r="E135" s="1053"/>
      <c r="F135" s="1053"/>
      <c r="G135" s="565" t="s">
        <v>370</v>
      </c>
      <c r="H135" s="798">
        <v>1.5</v>
      </c>
      <c r="I135" s="895"/>
      <c r="J135" s="574">
        <f>TRUNC((H135*I135),2)</f>
        <v>0</v>
      </c>
    </row>
    <row r="136" spans="2:10" ht="34.5" customHeight="1">
      <c r="B136" s="1054" t="s">
        <v>412</v>
      </c>
      <c r="C136" s="1055"/>
      <c r="D136" s="1055"/>
      <c r="E136" s="1055"/>
      <c r="F136" s="1055"/>
      <c r="G136" s="1055"/>
      <c r="H136" s="1055"/>
      <c r="I136" s="1056"/>
      <c r="J136" s="561">
        <f>SUM(J125:J135)</f>
        <v>0</v>
      </c>
    </row>
    <row r="137" spans="2:10" ht="16.5" customHeight="1">
      <c r="B137" s="721"/>
      <c r="C137" s="137"/>
      <c r="D137" s="137"/>
      <c r="E137" s="137"/>
      <c r="F137" s="137"/>
      <c r="G137" s="137"/>
      <c r="H137" s="137"/>
      <c r="I137" s="137"/>
      <c r="J137" s="166"/>
    </row>
    <row r="138" spans="2:15" ht="30.75" customHeight="1">
      <c r="B138" s="781" t="s">
        <v>322</v>
      </c>
      <c r="C138" s="1047" t="s">
        <v>323</v>
      </c>
      <c r="D138" s="1048"/>
      <c r="E138" s="1048"/>
      <c r="F138" s="1049"/>
      <c r="G138" s="790" t="s">
        <v>293</v>
      </c>
      <c r="H138" s="777"/>
      <c r="I138" s="777"/>
      <c r="J138" s="782"/>
      <c r="K138" s="698" t="s">
        <v>300</v>
      </c>
      <c r="L138" s="699" t="str">
        <f>B138</f>
        <v>AGEHAB.0002</v>
      </c>
      <c r="M138" s="700" t="str">
        <f>C138</f>
        <v>SUMIDOURO PRÉ-MOLDADO, Ø 1,00M, ALTURA 3,00M, PERFURADO A CADA 20CM.</v>
      </c>
      <c r="N138" s="700" t="str">
        <f>G138</f>
        <v>UN    </v>
      </c>
      <c r="O138" s="701">
        <f>J149</f>
        <v>0</v>
      </c>
    </row>
    <row r="139" spans="2:10" ht="51.75" customHeight="1">
      <c r="B139" s="632">
        <v>3520</v>
      </c>
      <c r="C139" s="1052" t="s">
        <v>346</v>
      </c>
      <c r="D139" s="1053"/>
      <c r="E139" s="1053"/>
      <c r="F139" s="1053"/>
      <c r="G139" s="565" t="s">
        <v>293</v>
      </c>
      <c r="H139" s="798">
        <v>1</v>
      </c>
      <c r="I139" s="894"/>
      <c r="J139" s="783">
        <f aca="true" t="shared" si="6" ref="J139:J146">TRUNC((H139*I139),2)</f>
        <v>0</v>
      </c>
    </row>
    <row r="140" spans="2:10" ht="36.75" customHeight="1">
      <c r="B140" s="632">
        <v>4718</v>
      </c>
      <c r="C140" s="1052" t="s">
        <v>349</v>
      </c>
      <c r="D140" s="1053"/>
      <c r="E140" s="1053"/>
      <c r="F140" s="1053"/>
      <c r="G140" s="565" t="s">
        <v>331</v>
      </c>
      <c r="H140" s="798">
        <v>0.27</v>
      </c>
      <c r="I140" s="894"/>
      <c r="J140" s="574">
        <f t="shared" si="6"/>
        <v>0</v>
      </c>
    </row>
    <row r="141" spans="2:15" ht="33" customHeight="1">
      <c r="B141" s="749">
        <v>41638</v>
      </c>
      <c r="C141" s="1052" t="s">
        <v>334</v>
      </c>
      <c r="D141" s="1053"/>
      <c r="E141" s="1053"/>
      <c r="F141" s="1053"/>
      <c r="G141" s="565" t="s">
        <v>293</v>
      </c>
      <c r="H141" s="799">
        <v>6</v>
      </c>
      <c r="I141" s="894"/>
      <c r="J141" s="574">
        <f t="shared" si="6"/>
        <v>0</v>
      </c>
      <c r="K141" s="748"/>
      <c r="L141" s="748"/>
      <c r="M141" s="748"/>
      <c r="N141" s="748"/>
      <c r="O141" s="748"/>
    </row>
    <row r="142" spans="2:15" ht="23.25" customHeight="1">
      <c r="B142" s="776">
        <v>41614</v>
      </c>
      <c r="C142" s="1052" t="s">
        <v>359</v>
      </c>
      <c r="D142" s="1053"/>
      <c r="E142" s="1053"/>
      <c r="F142" s="1053"/>
      <c r="G142" s="565" t="s">
        <v>293</v>
      </c>
      <c r="H142" s="799">
        <v>1</v>
      </c>
      <c r="I142" s="894"/>
      <c r="J142" s="574">
        <f t="shared" si="6"/>
        <v>0</v>
      </c>
      <c r="K142" s="748"/>
      <c r="L142" s="748"/>
      <c r="M142" s="748"/>
      <c r="N142" s="748"/>
      <c r="O142" s="748"/>
    </row>
    <row r="143" spans="2:15" ht="23.25" customHeight="1">
      <c r="B143" s="750" t="s">
        <v>263</v>
      </c>
      <c r="C143" s="1052" t="s">
        <v>397</v>
      </c>
      <c r="D143" s="1053"/>
      <c r="E143" s="1053"/>
      <c r="F143" s="1053"/>
      <c r="G143" s="565" t="s">
        <v>285</v>
      </c>
      <c r="H143" s="799">
        <v>0.0094</v>
      </c>
      <c r="I143" s="895"/>
      <c r="J143" s="574">
        <f t="shared" si="6"/>
        <v>0</v>
      </c>
      <c r="K143" s="748"/>
      <c r="L143" s="748"/>
      <c r="M143" s="748"/>
      <c r="N143" s="748"/>
      <c r="O143" s="748"/>
    </row>
    <row r="144" spans="2:10" ht="17.25" customHeight="1">
      <c r="B144" s="633" t="s">
        <v>290</v>
      </c>
      <c r="C144" s="1052" t="s">
        <v>393</v>
      </c>
      <c r="D144" s="1053"/>
      <c r="E144" s="1053"/>
      <c r="F144" s="1053"/>
      <c r="G144" s="565" t="s">
        <v>285</v>
      </c>
      <c r="H144" s="798">
        <v>0.49</v>
      </c>
      <c r="I144" s="895"/>
      <c r="J144" s="574">
        <f t="shared" si="6"/>
        <v>0</v>
      </c>
    </row>
    <row r="145" spans="2:14" ht="15.75" customHeight="1">
      <c r="B145" s="638" t="s">
        <v>303</v>
      </c>
      <c r="C145" s="1052" t="s">
        <v>394</v>
      </c>
      <c r="D145" s="1053"/>
      <c r="E145" s="1053"/>
      <c r="F145" s="1053"/>
      <c r="G145" s="565" t="s">
        <v>269</v>
      </c>
      <c r="H145" s="798">
        <v>1.13</v>
      </c>
      <c r="I145" s="895"/>
      <c r="J145" s="574">
        <f t="shared" si="6"/>
        <v>0</v>
      </c>
      <c r="K145" s="748"/>
      <c r="L145" s="748"/>
      <c r="M145" s="748"/>
      <c r="N145" s="748"/>
    </row>
    <row r="146" spans="2:10" ht="32.25" customHeight="1">
      <c r="B146" s="632" t="s">
        <v>265</v>
      </c>
      <c r="C146" s="1050" t="s">
        <v>423</v>
      </c>
      <c r="D146" s="1051"/>
      <c r="E146" s="1051"/>
      <c r="F146" s="1051"/>
      <c r="G146" s="565" t="s">
        <v>285</v>
      </c>
      <c r="H146" s="798">
        <v>2.85</v>
      </c>
      <c r="I146" s="895"/>
      <c r="J146" s="574">
        <f t="shared" si="6"/>
        <v>0</v>
      </c>
    </row>
    <row r="147" spans="2:13" ht="28.5" customHeight="1">
      <c r="B147" s="632" t="s">
        <v>259</v>
      </c>
      <c r="C147" s="1052" t="s">
        <v>407</v>
      </c>
      <c r="D147" s="1053"/>
      <c r="E147" s="1053"/>
      <c r="F147" s="1053"/>
      <c r="G147" s="565" t="s">
        <v>370</v>
      </c>
      <c r="H147" s="798">
        <v>3</v>
      </c>
      <c r="I147" s="895"/>
      <c r="J147" s="574">
        <f>TRUNC((H147*I147),2)</f>
        <v>0</v>
      </c>
      <c r="M147" s="752"/>
    </row>
    <row r="148" spans="2:13" ht="32.25" customHeight="1">
      <c r="B148" s="632" t="s">
        <v>258</v>
      </c>
      <c r="C148" s="1052" t="s">
        <v>406</v>
      </c>
      <c r="D148" s="1053"/>
      <c r="E148" s="1053"/>
      <c r="F148" s="1053"/>
      <c r="G148" s="565" t="s">
        <v>370</v>
      </c>
      <c r="H148" s="798">
        <v>2</v>
      </c>
      <c r="I148" s="895"/>
      <c r="J148" s="574">
        <f>TRUNC((H148*I148),2)</f>
        <v>0</v>
      </c>
      <c r="M148" s="752"/>
    </row>
    <row r="149" spans="2:10" ht="34.5" customHeight="1">
      <c r="B149" s="1054" t="s">
        <v>412</v>
      </c>
      <c r="C149" s="1055"/>
      <c r="D149" s="1055"/>
      <c r="E149" s="1060"/>
      <c r="F149" s="1055"/>
      <c r="G149" s="1055"/>
      <c r="H149" s="1055"/>
      <c r="I149" s="1056"/>
      <c r="J149" s="561">
        <f>SUM(J139:J148)</f>
        <v>0</v>
      </c>
    </row>
    <row r="150" spans="2:10" ht="18.75" customHeight="1">
      <c r="B150" s="900"/>
      <c r="C150" s="901"/>
      <c r="D150" s="901"/>
      <c r="E150" s="902"/>
      <c r="F150" s="901"/>
      <c r="G150" s="901"/>
      <c r="H150" s="901"/>
      <c r="I150" s="901"/>
      <c r="J150" s="901"/>
    </row>
    <row r="151" spans="2:10" ht="24.75" customHeight="1">
      <c r="B151" s="901"/>
      <c r="C151" s="901"/>
      <c r="D151" s="901"/>
      <c r="E151" s="901"/>
      <c r="F151" s="443"/>
      <c r="G151" s="901"/>
      <c r="H151" s="901"/>
      <c r="I151" s="901"/>
      <c r="J151" s="901"/>
    </row>
    <row r="152" spans="2:10" ht="24.75" customHeight="1">
      <c r="B152" s="901"/>
      <c r="C152" s="901"/>
      <c r="D152" s="901"/>
      <c r="E152" s="901"/>
      <c r="F152" s="903"/>
      <c r="G152" s="901"/>
      <c r="H152" s="901"/>
      <c r="I152" s="901"/>
      <c r="J152" s="901"/>
    </row>
    <row r="153" spans="2:10" ht="14.25" customHeight="1">
      <c r="B153" s="901"/>
      <c r="C153" s="901"/>
      <c r="D153" s="901"/>
      <c r="E153" s="901"/>
      <c r="F153" s="903"/>
      <c r="G153" s="901"/>
      <c r="H153" s="901"/>
      <c r="I153" s="901"/>
      <c r="J153" s="901"/>
    </row>
    <row r="154" spans="2:10" ht="16.5" customHeight="1">
      <c r="B154" s="901"/>
      <c r="C154" s="901"/>
      <c r="D154" s="901"/>
      <c r="E154" s="901"/>
      <c r="F154" s="903"/>
      <c r="G154" s="901"/>
      <c r="H154" s="901"/>
      <c r="I154" s="901"/>
      <c r="J154" s="901"/>
    </row>
    <row r="155" spans="2:10" ht="22.5" customHeight="1">
      <c r="B155" s="901"/>
      <c r="C155" s="901"/>
      <c r="D155" s="901"/>
      <c r="E155" s="901"/>
      <c r="F155" s="443"/>
      <c r="G155" s="901"/>
      <c r="H155" s="901"/>
      <c r="I155" s="901"/>
      <c r="J155" s="901"/>
    </row>
    <row r="156" ht="12.75">
      <c r="B156" s="358"/>
    </row>
    <row r="157" ht="12" customHeight="1">
      <c r="B157" s="358"/>
    </row>
    <row r="158" ht="25.5" customHeight="1">
      <c r="B158" s="358"/>
    </row>
  </sheetData>
  <sheetProtection password="C5D3" sheet="1"/>
  <mergeCells count="126">
    <mergeCell ref="C115:F115"/>
    <mergeCell ref="B93:I93"/>
    <mergeCell ref="C112:F112"/>
    <mergeCell ref="C107:F107"/>
    <mergeCell ref="C108:F108"/>
    <mergeCell ref="C109:F109"/>
    <mergeCell ref="B104:I104"/>
    <mergeCell ref="B97:I97"/>
    <mergeCell ref="C102:F102"/>
    <mergeCell ref="C103:F103"/>
    <mergeCell ref="C76:F76"/>
    <mergeCell ref="C67:F67"/>
    <mergeCell ref="C70:F70"/>
    <mergeCell ref="C92:F92"/>
    <mergeCell ref="C71:F71"/>
    <mergeCell ref="C72:F72"/>
    <mergeCell ref="B73:I73"/>
    <mergeCell ref="B80:I80"/>
    <mergeCell ref="C77:F77"/>
    <mergeCell ref="C84:F84"/>
    <mergeCell ref="C30:F30"/>
    <mergeCell ref="C31:F31"/>
    <mergeCell ref="C19:F19"/>
    <mergeCell ref="C15:F15"/>
    <mergeCell ref="C82:F82"/>
    <mergeCell ref="C75:F75"/>
    <mergeCell ref="C27:F27"/>
    <mergeCell ref="C28:F28"/>
    <mergeCell ref="C66:F66"/>
    <mergeCell ref="B49:I49"/>
    <mergeCell ref="B13:J13"/>
    <mergeCell ref="C14:F14"/>
    <mergeCell ref="C34:F34"/>
    <mergeCell ref="C51:F51"/>
    <mergeCell ref="C63:F63"/>
    <mergeCell ref="B32:I32"/>
    <mergeCell ref="C60:F60"/>
    <mergeCell ref="C16:F16"/>
    <mergeCell ref="C59:F59"/>
    <mergeCell ref="B61:I61"/>
    <mergeCell ref="C100:F100"/>
    <mergeCell ref="B22:I22"/>
    <mergeCell ref="C20:F20"/>
    <mergeCell ref="C17:F17"/>
    <mergeCell ref="C18:F18"/>
    <mergeCell ref="B57:I57"/>
    <mergeCell ref="C83:F83"/>
    <mergeCell ref="B68:I68"/>
    <mergeCell ref="C53:F53"/>
    <mergeCell ref="C55:F55"/>
    <mergeCell ref="C101:F101"/>
    <mergeCell ref="C21:F21"/>
    <mergeCell ref="C25:F25"/>
    <mergeCell ref="C26:F26"/>
    <mergeCell ref="C29:F29"/>
    <mergeCell ref="C78:F78"/>
    <mergeCell ref="C54:F54"/>
    <mergeCell ref="C79:F79"/>
    <mergeCell ref="C56:F56"/>
    <mergeCell ref="B58:J58"/>
    <mergeCell ref="C64:F64"/>
    <mergeCell ref="C65:F65"/>
    <mergeCell ref="C40:F40"/>
    <mergeCell ref="C41:F41"/>
    <mergeCell ref="C45:F45"/>
    <mergeCell ref="C46:F46"/>
    <mergeCell ref="C47:F47"/>
    <mergeCell ref="C52:F52"/>
    <mergeCell ref="C48:F48"/>
    <mergeCell ref="N40:S40"/>
    <mergeCell ref="N38:S38"/>
    <mergeCell ref="N37:S37"/>
    <mergeCell ref="C35:F35"/>
    <mergeCell ref="C36:F36"/>
    <mergeCell ref="C37:F37"/>
    <mergeCell ref="C38:F38"/>
    <mergeCell ref="C90:F90"/>
    <mergeCell ref="C95:F95"/>
    <mergeCell ref="C110:F110"/>
    <mergeCell ref="C111:F111"/>
    <mergeCell ref="B113:I113"/>
    <mergeCell ref="N39:S39"/>
    <mergeCell ref="C39:F39"/>
    <mergeCell ref="C42:F42"/>
    <mergeCell ref="C43:F43"/>
    <mergeCell ref="C44:F44"/>
    <mergeCell ref="B136:I136"/>
    <mergeCell ref="C126:F126"/>
    <mergeCell ref="C127:F127"/>
    <mergeCell ref="C85:F85"/>
    <mergeCell ref="C86:F86"/>
    <mergeCell ref="C87:F87"/>
    <mergeCell ref="B88:I88"/>
    <mergeCell ref="C99:F99"/>
    <mergeCell ref="C96:F96"/>
    <mergeCell ref="C91:F91"/>
    <mergeCell ref="B149:I149"/>
    <mergeCell ref="C143:F143"/>
    <mergeCell ref="C148:F148"/>
    <mergeCell ref="C139:F139"/>
    <mergeCell ref="C140:F140"/>
    <mergeCell ref="C116:F116"/>
    <mergeCell ref="C117:F117"/>
    <mergeCell ref="C118:F118"/>
    <mergeCell ref="C119:F119"/>
    <mergeCell ref="C120:F120"/>
    <mergeCell ref="C125:F125"/>
    <mergeCell ref="C142:F142"/>
    <mergeCell ref="C144:F144"/>
    <mergeCell ref="C145:F145"/>
    <mergeCell ref="C146:F146"/>
    <mergeCell ref="C147:F147"/>
    <mergeCell ref="C128:F128"/>
    <mergeCell ref="C129:F129"/>
    <mergeCell ref="C130:F130"/>
    <mergeCell ref="C141:F141"/>
    <mergeCell ref="C106:F106"/>
    <mergeCell ref="C138:F138"/>
    <mergeCell ref="C132:F132"/>
    <mergeCell ref="C133:F133"/>
    <mergeCell ref="C134:F134"/>
    <mergeCell ref="C135:F135"/>
    <mergeCell ref="C124:F124"/>
    <mergeCell ref="C131:F131"/>
    <mergeCell ref="C121:F121"/>
    <mergeCell ref="B122:I122"/>
  </mergeCells>
  <printOptions horizontalCentered="1"/>
  <pageMargins left="0.2362204724409449" right="0.2362204724409449" top="1.1811023622047245" bottom="1.1811023622047245" header="0.31496062992125984" footer="0.31496062992125984"/>
  <pageSetup horizontalDpi="600" verticalDpi="600" orientation="portrait" paperSize="9" scale="45" r:id="rId1"/>
  <headerFooter>
    <oddFooter>&amp;RPágina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69"/>
  <sheetViews>
    <sheetView view="pageBreakPreview" zoomScaleSheetLayoutView="100" zoomScalePageLayoutView="0" workbookViewId="0" topLeftCell="A1">
      <selection activeCell="AH117" sqref="AH117"/>
    </sheetView>
  </sheetViews>
  <sheetFormatPr defaultColWidth="8.8515625" defaultRowHeight="12.75"/>
  <cols>
    <col min="1" max="1" width="5.28125" style="34" customWidth="1"/>
    <col min="2" max="2" width="14.8515625" style="133" customWidth="1"/>
    <col min="3" max="3" width="5.8515625" style="133" customWidth="1"/>
    <col min="4" max="4" width="8.7109375" style="133" customWidth="1"/>
    <col min="5" max="5" width="7.7109375" style="133" customWidth="1"/>
    <col min="6" max="6" width="9.140625" style="133" customWidth="1"/>
    <col min="7" max="7" width="5.421875" style="133" customWidth="1"/>
    <col min="8" max="8" width="6.57421875" style="133" customWidth="1"/>
    <col min="9" max="10" width="7.7109375" style="133" customWidth="1"/>
    <col min="11" max="11" width="9.7109375" style="133" customWidth="1"/>
    <col min="12" max="12" width="5.421875" style="133" customWidth="1"/>
    <col min="13" max="13" width="10.421875" style="47" bestFit="1" customWidth="1"/>
    <col min="14" max="15" width="0" style="47" hidden="1" customWidth="1"/>
    <col min="16" max="16" width="9.7109375" style="47" hidden="1" customWidth="1"/>
    <col min="17" max="17" width="15.57421875" style="47" hidden="1" customWidth="1"/>
    <col min="18" max="25" width="0" style="47" hidden="1" customWidth="1"/>
    <col min="26" max="16384" width="8.8515625" style="47" customWidth="1"/>
  </cols>
  <sheetData>
    <row r="1" spans="1:12" ht="23.25">
      <c r="A1" s="1084" t="s">
        <v>96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  <c r="L1" s="1086"/>
    </row>
    <row r="2" spans="1:12" ht="12.75">
      <c r="A2" s="126"/>
      <c r="B2" s="127"/>
      <c r="C2" s="127"/>
      <c r="D2" s="127"/>
      <c r="E2" s="127"/>
      <c r="F2" s="127"/>
      <c r="G2" s="127"/>
      <c r="H2" s="127"/>
      <c r="I2" s="128"/>
      <c r="J2" s="127"/>
      <c r="K2" s="129"/>
      <c r="L2" s="130"/>
    </row>
    <row r="3" spans="1:13" ht="12.75">
      <c r="A3" s="131">
        <v>1</v>
      </c>
      <c r="B3" s="132" t="s">
        <v>97</v>
      </c>
      <c r="K3" s="132"/>
      <c r="L3" s="134"/>
      <c r="M3" s="43"/>
    </row>
    <row r="4" spans="1:13" ht="3.75" customHeight="1">
      <c r="A4" s="131"/>
      <c r="B4" s="132"/>
      <c r="K4" s="132"/>
      <c r="L4" s="134"/>
      <c r="M4" s="43"/>
    </row>
    <row r="5" spans="1:12" ht="12.75">
      <c r="A5" s="135" t="s">
        <v>98</v>
      </c>
      <c r="B5" s="136" t="s">
        <v>99</v>
      </c>
      <c r="C5" s="95" t="s">
        <v>100</v>
      </c>
      <c r="D5" s="30"/>
      <c r="E5" s="30"/>
      <c r="F5" s="30"/>
      <c r="G5" s="30"/>
      <c r="H5" s="30"/>
      <c r="I5" s="137"/>
      <c r="K5" s="138">
        <f>ROUND(E128,2)</f>
        <v>60.38</v>
      </c>
      <c r="L5" s="139" t="s">
        <v>101</v>
      </c>
    </row>
    <row r="6" spans="1:12" ht="12.75" hidden="1">
      <c r="A6" s="140">
        <v>2</v>
      </c>
      <c r="B6" s="141" t="s">
        <v>102</v>
      </c>
      <c r="C6" s="142"/>
      <c r="D6" s="142"/>
      <c r="E6" s="142"/>
      <c r="F6" s="142"/>
      <c r="G6" s="142"/>
      <c r="H6" s="142"/>
      <c r="I6" s="142"/>
      <c r="J6" s="142"/>
      <c r="K6" s="132"/>
      <c r="L6" s="134"/>
    </row>
    <row r="7" spans="1:12" ht="12.75" hidden="1">
      <c r="A7" s="140" t="s">
        <v>103</v>
      </c>
      <c r="B7" s="1087" t="s">
        <v>104</v>
      </c>
      <c r="C7" s="1087"/>
      <c r="D7" s="143"/>
      <c r="E7" s="141"/>
      <c r="F7" s="141"/>
      <c r="G7" s="142"/>
      <c r="H7" s="142"/>
      <c r="I7" s="142"/>
      <c r="J7" s="142"/>
      <c r="K7" s="132"/>
      <c r="L7" s="134"/>
    </row>
    <row r="8" spans="1:24" ht="12.75" hidden="1">
      <c r="A8" s="144" t="s">
        <v>105</v>
      </c>
      <c r="B8" s="145" t="s">
        <v>106</v>
      </c>
      <c r="C8" s="145"/>
      <c r="D8" s="145"/>
      <c r="E8" s="145"/>
      <c r="F8" s="145"/>
      <c r="G8" s="145"/>
      <c r="H8" s="145"/>
      <c r="I8" s="142"/>
      <c r="J8" s="142"/>
      <c r="K8" s="146">
        <v>50.47</v>
      </c>
      <c r="L8" s="147" t="s">
        <v>101</v>
      </c>
      <c r="M8" s="32"/>
      <c r="N8" s="133"/>
      <c r="O8" s="1088"/>
      <c r="P8" s="1088"/>
      <c r="Q8" s="133"/>
      <c r="R8" s="133"/>
      <c r="S8" s="1088"/>
      <c r="T8" s="1088"/>
      <c r="U8" s="133"/>
      <c r="V8" s="133"/>
      <c r="W8" s="132"/>
      <c r="X8" s="132"/>
    </row>
    <row r="9" spans="1:12" ht="12.75" hidden="1">
      <c r="A9" s="148"/>
      <c r="B9" s="149"/>
      <c r="C9" s="142"/>
      <c r="D9" s="142"/>
      <c r="E9" s="142"/>
      <c r="F9" s="142"/>
      <c r="G9" s="141"/>
      <c r="H9" s="141"/>
      <c r="I9" s="142"/>
      <c r="J9" s="141"/>
      <c r="K9" s="132"/>
      <c r="L9" s="134"/>
    </row>
    <row r="10" spans="1:14" ht="12.75" hidden="1">
      <c r="A10" s="144"/>
      <c r="B10" s="142" t="s">
        <v>107</v>
      </c>
      <c r="C10" s="142"/>
      <c r="D10" s="142"/>
      <c r="E10" s="142"/>
      <c r="F10" s="142"/>
      <c r="G10" s="142"/>
      <c r="H10" s="142"/>
      <c r="I10" s="142"/>
      <c r="J10" s="150">
        <f>3.22+2.55+2.92+2.92+2.92+2.7+7.22+4.45+2.1+2.8+0.15+8</f>
        <v>41.949999999999996</v>
      </c>
      <c r="K10" s="151" t="s">
        <v>12</v>
      </c>
      <c r="L10" s="134"/>
      <c r="M10" s="47">
        <v>38.35</v>
      </c>
      <c r="N10" s="152">
        <f>M10-J10</f>
        <v>-3.5999999999999943</v>
      </c>
    </row>
    <row r="11" spans="1:14" ht="12.75" hidden="1">
      <c r="A11" s="140"/>
      <c r="B11" s="142" t="s">
        <v>108</v>
      </c>
      <c r="C11" s="142"/>
      <c r="D11" s="153"/>
      <c r="E11" s="145"/>
      <c r="F11" s="142"/>
      <c r="G11" s="142"/>
      <c r="H11" s="142"/>
      <c r="I11" s="150"/>
      <c r="J11" s="150"/>
      <c r="K11" s="132"/>
      <c r="L11" s="134"/>
      <c r="M11" s="47">
        <v>39.55</v>
      </c>
      <c r="N11" s="152">
        <f>J10-M11</f>
        <v>2.3999999999999986</v>
      </c>
    </row>
    <row r="12" spans="1:14" ht="12.75" hidden="1">
      <c r="A12" s="140"/>
      <c r="B12" s="142" t="s">
        <v>109</v>
      </c>
      <c r="C12" s="142"/>
      <c r="D12" s="153"/>
      <c r="E12" s="154">
        <v>0.12</v>
      </c>
      <c r="F12" s="142"/>
      <c r="G12" s="142"/>
      <c r="H12" s="142"/>
      <c r="I12" s="150"/>
      <c r="J12" s="150"/>
      <c r="K12" s="132"/>
      <c r="L12" s="134"/>
      <c r="N12" s="152"/>
    </row>
    <row r="13" spans="1:14" ht="12.75" hidden="1">
      <c r="A13" s="140"/>
      <c r="B13" s="142"/>
      <c r="C13" s="142"/>
      <c r="D13" s="153"/>
      <c r="E13" s="155"/>
      <c r="F13" s="142"/>
      <c r="G13" s="154">
        <v>0.3</v>
      </c>
      <c r="H13" s="142"/>
      <c r="I13" s="150"/>
      <c r="J13" s="150"/>
      <c r="K13" s="132"/>
      <c r="L13" s="134"/>
      <c r="N13" s="152"/>
    </row>
    <row r="14" spans="1:14" ht="12.75" hidden="1">
      <c r="A14" s="140"/>
      <c r="B14" s="142"/>
      <c r="C14" s="142"/>
      <c r="D14" s="156"/>
      <c r="E14" s="157"/>
      <c r="F14" s="158"/>
      <c r="G14" s="154">
        <v>0.25</v>
      </c>
      <c r="H14" s="142"/>
      <c r="I14" s="150"/>
      <c r="J14" s="150"/>
      <c r="K14" s="132"/>
      <c r="L14" s="134"/>
      <c r="N14" s="152"/>
    </row>
    <row r="15" spans="1:12" ht="12.75" hidden="1">
      <c r="A15" s="159"/>
      <c r="B15" s="142"/>
      <c r="C15" s="142"/>
      <c r="D15" s="160">
        <v>0.215</v>
      </c>
      <c r="E15" s="161">
        <v>0.12</v>
      </c>
      <c r="F15" s="160">
        <v>0.215</v>
      </c>
      <c r="G15" s="142"/>
      <c r="H15" s="142"/>
      <c r="I15" s="142"/>
      <c r="J15" s="142"/>
      <c r="L15" s="162"/>
    </row>
    <row r="16" spans="1:12" ht="12.75" hidden="1">
      <c r="A16" s="163"/>
      <c r="B16" s="164"/>
      <c r="C16" s="165"/>
      <c r="D16" s="1089">
        <f>D15+E15+F15</f>
        <v>0.5499999999999999</v>
      </c>
      <c r="E16" s="1089"/>
      <c r="F16" s="1089"/>
      <c r="G16" s="165"/>
      <c r="H16" s="142"/>
      <c r="I16" s="150"/>
      <c r="J16" s="150"/>
      <c r="K16" s="137"/>
      <c r="L16" s="166"/>
    </row>
    <row r="17" spans="1:12" ht="12.75" hidden="1">
      <c r="A17" s="167" t="s">
        <v>110</v>
      </c>
      <c r="B17" s="142" t="s">
        <v>25</v>
      </c>
      <c r="C17" s="165"/>
      <c r="D17" s="165"/>
      <c r="E17" s="165"/>
      <c r="F17" s="141"/>
      <c r="G17" s="165"/>
      <c r="H17" s="142"/>
      <c r="I17" s="150"/>
      <c r="J17" s="150"/>
      <c r="K17" s="138">
        <f>J18+J19</f>
        <v>2.568949999999999</v>
      </c>
      <c r="L17" s="139" t="s">
        <v>2</v>
      </c>
    </row>
    <row r="18" spans="1:12" ht="12.75" hidden="1">
      <c r="A18" s="148"/>
      <c r="B18" s="168" t="s">
        <v>111</v>
      </c>
      <c r="C18" s="154">
        <f>J10</f>
        <v>41.949999999999996</v>
      </c>
      <c r="D18" s="169" t="s">
        <v>32</v>
      </c>
      <c r="E18" s="154">
        <f>E12</f>
        <v>0.12</v>
      </c>
      <c r="F18" s="169" t="s">
        <v>32</v>
      </c>
      <c r="G18" s="154">
        <f>G13</f>
        <v>0.3</v>
      </c>
      <c r="H18" s="154" t="s">
        <v>36</v>
      </c>
      <c r="I18" s="170"/>
      <c r="J18" s="154">
        <f>C18*E18*G18</f>
        <v>1.5101999999999995</v>
      </c>
      <c r="L18" s="162"/>
    </row>
    <row r="19" spans="1:12" ht="12.75" hidden="1">
      <c r="A19" s="167"/>
      <c r="B19" s="171" t="s">
        <v>112</v>
      </c>
      <c r="C19" s="154">
        <f>D16</f>
        <v>0.5499999999999999</v>
      </c>
      <c r="D19" s="169" t="s">
        <v>32</v>
      </c>
      <c r="E19" s="154">
        <v>0.7</v>
      </c>
      <c r="F19" s="169" t="s">
        <v>32</v>
      </c>
      <c r="G19" s="154">
        <f>G14</f>
        <v>0.25</v>
      </c>
      <c r="H19" s="154" t="s">
        <v>32</v>
      </c>
      <c r="I19" s="169">
        <v>11</v>
      </c>
      <c r="J19" s="154">
        <f>C19*E19*G19*I19</f>
        <v>1.0587499999999999</v>
      </c>
      <c r="L19" s="162"/>
    </row>
    <row r="20" spans="1:12" ht="12.75" hidden="1">
      <c r="A20" s="167"/>
      <c r="B20" s="142"/>
      <c r="C20" s="142"/>
      <c r="D20" s="142"/>
      <c r="E20" s="142"/>
      <c r="F20" s="142"/>
      <c r="G20" s="172"/>
      <c r="H20" s="173"/>
      <c r="I20" s="173"/>
      <c r="J20" s="154"/>
      <c r="L20" s="162"/>
    </row>
    <row r="21" spans="1:12" ht="12.75" hidden="1">
      <c r="A21" s="167" t="s">
        <v>113</v>
      </c>
      <c r="B21" s="142" t="s">
        <v>27</v>
      </c>
      <c r="C21" s="150"/>
      <c r="D21" s="150"/>
      <c r="E21" s="150"/>
      <c r="F21" s="150"/>
      <c r="G21" s="150"/>
      <c r="H21" s="173"/>
      <c r="I21" s="173"/>
      <c r="J21" s="154"/>
      <c r="K21" s="138">
        <f>J22+J23</f>
        <v>9.268999999999998</v>
      </c>
      <c r="L21" s="139" t="s">
        <v>0</v>
      </c>
    </row>
    <row r="22" spans="1:12" ht="12.75" hidden="1">
      <c r="A22" s="167"/>
      <c r="B22" s="142" t="s">
        <v>111</v>
      </c>
      <c r="C22" s="154"/>
      <c r="D22" s="169"/>
      <c r="E22" s="154">
        <f>J10</f>
        <v>41.949999999999996</v>
      </c>
      <c r="F22" s="169" t="s">
        <v>32</v>
      </c>
      <c r="G22" s="154">
        <f>E12</f>
        <v>0.12</v>
      </c>
      <c r="H22" s="154" t="s">
        <v>36</v>
      </c>
      <c r="I22" s="170"/>
      <c r="J22" s="154">
        <f>E22*G22</f>
        <v>5.033999999999999</v>
      </c>
      <c r="L22" s="162"/>
    </row>
    <row r="23" spans="1:12" ht="12.75" hidden="1">
      <c r="A23" s="167"/>
      <c r="B23" s="142" t="s">
        <v>112</v>
      </c>
      <c r="C23" s="154"/>
      <c r="D23" s="169"/>
      <c r="E23" s="154">
        <v>0.7</v>
      </c>
      <c r="F23" s="169" t="s">
        <v>32</v>
      </c>
      <c r="G23" s="154">
        <f>D16</f>
        <v>0.5499999999999999</v>
      </c>
      <c r="H23" s="154" t="s">
        <v>32</v>
      </c>
      <c r="I23" s="169">
        <v>11</v>
      </c>
      <c r="J23" s="154">
        <f>E23*G23*I23</f>
        <v>4.234999999999999</v>
      </c>
      <c r="L23" s="162"/>
    </row>
    <row r="24" spans="1:12" ht="12.75" hidden="1">
      <c r="A24" s="167"/>
      <c r="B24" s="142"/>
      <c r="C24" s="142"/>
      <c r="D24" s="142"/>
      <c r="E24" s="154"/>
      <c r="F24" s="169"/>
      <c r="G24" s="154"/>
      <c r="H24" s="154"/>
      <c r="I24" s="169"/>
      <c r="J24" s="154"/>
      <c r="L24" s="162"/>
    </row>
    <row r="25" spans="1:12" ht="12.75" hidden="1">
      <c r="A25" s="167" t="s">
        <v>114</v>
      </c>
      <c r="B25" s="142" t="s">
        <v>29</v>
      </c>
      <c r="C25" s="174">
        <f>D15</f>
        <v>0.215</v>
      </c>
      <c r="D25" s="173">
        <f>G13</f>
        <v>0.3</v>
      </c>
      <c r="E25" s="173">
        <f>J10</f>
        <v>41.949999999999996</v>
      </c>
      <c r="F25" s="172" t="s">
        <v>115</v>
      </c>
      <c r="G25" s="174">
        <f>F15</f>
        <v>0.215</v>
      </c>
      <c r="H25" s="173">
        <f>D25</f>
        <v>0.3</v>
      </c>
      <c r="I25" s="175">
        <f>J10</f>
        <v>41.949999999999996</v>
      </c>
      <c r="J25" s="142" t="s">
        <v>43</v>
      </c>
      <c r="K25" s="138">
        <f>ROUND((C25*D25*E25)+(G25*H25*I25),2)</f>
        <v>5.41</v>
      </c>
      <c r="L25" s="139" t="s">
        <v>2</v>
      </c>
    </row>
    <row r="26" spans="1:12" ht="12.75" hidden="1">
      <c r="A26" s="167"/>
      <c r="B26" s="142"/>
      <c r="C26" s="142"/>
      <c r="D26" s="142"/>
      <c r="E26" s="142"/>
      <c r="F26" s="142"/>
      <c r="G26" s="142"/>
      <c r="H26" s="173"/>
      <c r="I26" s="173"/>
      <c r="J26" s="142"/>
      <c r="L26" s="162"/>
    </row>
    <row r="27" spans="1:12" ht="12.75" hidden="1">
      <c r="A27" s="167" t="s">
        <v>116</v>
      </c>
      <c r="B27" s="142" t="s">
        <v>117</v>
      </c>
      <c r="C27" s="142"/>
      <c r="D27" s="150"/>
      <c r="E27" s="142"/>
      <c r="F27" s="142"/>
      <c r="G27" s="142"/>
      <c r="H27" s="142"/>
      <c r="I27" s="142"/>
      <c r="J27" s="142"/>
      <c r="K27" s="138" t="e">
        <f>ROUND(G34+G38,2)</f>
        <v>#REF!</v>
      </c>
      <c r="L27" s="139" t="s">
        <v>2</v>
      </c>
    </row>
    <row r="28" spans="1:12" ht="12.75" hidden="1">
      <c r="A28" s="148"/>
      <c r="B28" s="176" t="s">
        <v>118</v>
      </c>
      <c r="C28" s="177" t="s">
        <v>119</v>
      </c>
      <c r="D28" s="178" t="s">
        <v>120</v>
      </c>
      <c r="E28" s="179">
        <v>1.5</v>
      </c>
      <c r="F28" s="180">
        <f>3.1417*1.3/D29*E28</f>
        <v>1.5315787500000002</v>
      </c>
      <c r="G28" s="181" t="s">
        <v>2</v>
      </c>
      <c r="H28" s="182" t="s">
        <v>121</v>
      </c>
      <c r="I28" s="142"/>
      <c r="J28" s="142"/>
      <c r="K28" s="137"/>
      <c r="L28" s="183"/>
    </row>
    <row r="29" spans="1:12" ht="12.75" hidden="1">
      <c r="A29" s="148"/>
      <c r="B29" s="184"/>
      <c r="C29" s="185"/>
      <c r="D29" s="172">
        <v>4</v>
      </c>
      <c r="E29" s="186"/>
      <c r="F29" s="187"/>
      <c r="G29" s="188"/>
      <c r="H29" s="182"/>
      <c r="I29" s="142"/>
      <c r="J29" s="142"/>
      <c r="K29" s="137"/>
      <c r="L29" s="183"/>
    </row>
    <row r="30" spans="1:12" ht="12.75" hidden="1">
      <c r="A30" s="148"/>
      <c r="B30" s="184" t="s">
        <v>122</v>
      </c>
      <c r="C30" s="185" t="s">
        <v>119</v>
      </c>
      <c r="D30" s="189" t="s">
        <v>120</v>
      </c>
      <c r="E30" s="190">
        <v>3</v>
      </c>
      <c r="F30" s="191">
        <f>3.1417*1.1/D31*E30</f>
        <v>2.5919025</v>
      </c>
      <c r="G30" s="192" t="s">
        <v>2</v>
      </c>
      <c r="H30" s="182" t="s">
        <v>123</v>
      </c>
      <c r="I30" s="142"/>
      <c r="J30" s="142"/>
      <c r="K30" s="137"/>
      <c r="L30" s="183"/>
    </row>
    <row r="31" spans="1:12" ht="12.75" hidden="1">
      <c r="A31" s="148"/>
      <c r="B31" s="193"/>
      <c r="C31" s="142"/>
      <c r="D31" s="172">
        <v>4</v>
      </c>
      <c r="E31" s="172"/>
      <c r="F31" s="187"/>
      <c r="G31" s="188"/>
      <c r="H31" s="142"/>
      <c r="I31" s="142"/>
      <c r="J31" s="142"/>
      <c r="K31" s="137"/>
      <c r="L31" s="183"/>
    </row>
    <row r="32" spans="1:12" ht="12.75" hidden="1">
      <c r="A32" s="148"/>
      <c r="B32" s="1090" t="s">
        <v>124</v>
      </c>
      <c r="C32" s="1091"/>
      <c r="D32" s="194"/>
      <c r="E32" s="194"/>
      <c r="F32" s="195">
        <f>F28+F30</f>
        <v>4.12348125</v>
      </c>
      <c r="G32" s="196" t="s">
        <v>2</v>
      </c>
      <c r="H32" s="142"/>
      <c r="I32" s="142"/>
      <c r="J32" s="142"/>
      <c r="K32" s="137"/>
      <c r="L32" s="183"/>
    </row>
    <row r="33" spans="1:12" ht="12.75" hidden="1">
      <c r="A33" s="148"/>
      <c r="B33" s="197"/>
      <c r="C33" s="197"/>
      <c r="D33" s="198"/>
      <c r="E33" s="198"/>
      <c r="F33" s="198"/>
      <c r="G33" s="198"/>
      <c r="H33" s="142"/>
      <c r="I33" s="142"/>
      <c r="J33" s="142"/>
      <c r="K33" s="137"/>
      <c r="L33" s="183"/>
    </row>
    <row r="34" spans="1:12" ht="12.75" hidden="1">
      <c r="A34" s="144" t="s">
        <v>125</v>
      </c>
      <c r="B34" s="142"/>
      <c r="C34" s="185"/>
      <c r="D34" s="185"/>
      <c r="E34" s="142"/>
      <c r="F34" s="142"/>
      <c r="G34" s="199">
        <f>G35</f>
        <v>3.5049590625</v>
      </c>
      <c r="H34" s="200" t="s">
        <v>2</v>
      </c>
      <c r="I34" s="142"/>
      <c r="J34" s="142"/>
      <c r="K34" s="137"/>
      <c r="L34" s="183"/>
    </row>
    <row r="35" spans="1:12" ht="12.75" hidden="1">
      <c r="A35" s="1092" t="s">
        <v>126</v>
      </c>
      <c r="B35" s="1093"/>
      <c r="C35" s="1093"/>
      <c r="D35" s="1093"/>
      <c r="E35" s="201">
        <f>F32</f>
        <v>4.12348125</v>
      </c>
      <c r="F35" s="202" t="s">
        <v>127</v>
      </c>
      <c r="G35" s="201">
        <f>E35*0.85</f>
        <v>3.5049590625</v>
      </c>
      <c r="H35" s="203" t="s">
        <v>2</v>
      </c>
      <c r="I35" s="142"/>
      <c r="J35" s="142"/>
      <c r="K35" s="137"/>
      <c r="L35" s="183"/>
    </row>
    <row r="36" spans="1:12" ht="12.75" hidden="1">
      <c r="A36" s="144"/>
      <c r="B36" s="204"/>
      <c r="C36" s="205"/>
      <c r="D36" s="206"/>
      <c r="E36" s="206"/>
      <c r="F36" s="142"/>
      <c r="G36" s="142"/>
      <c r="H36" s="142"/>
      <c r="I36" s="142"/>
      <c r="J36" s="142"/>
      <c r="K36" s="207"/>
      <c r="L36" s="183"/>
    </row>
    <row r="37" spans="1:12" ht="12.75" hidden="1">
      <c r="A37" s="167" t="s">
        <v>31</v>
      </c>
      <c r="B37" s="142"/>
      <c r="C37" s="208" t="e">
        <f>#REF!</f>
        <v>#REF!</v>
      </c>
      <c r="D37" s="200" t="s">
        <v>0</v>
      </c>
      <c r="E37" s="172" t="s">
        <v>32</v>
      </c>
      <c r="F37" s="173">
        <v>0.15</v>
      </c>
      <c r="G37" s="172" t="s">
        <v>36</v>
      </c>
      <c r="H37" s="190" t="e">
        <f>C37*F37</f>
        <v>#REF!</v>
      </c>
      <c r="I37" s="142"/>
      <c r="J37" s="142"/>
      <c r="K37" s="137"/>
      <c r="L37" s="183"/>
    </row>
    <row r="38" spans="1:12" ht="12.75" hidden="1">
      <c r="A38" s="167"/>
      <c r="B38" s="142"/>
      <c r="C38" s="150" t="e">
        <f>H37</f>
        <v>#REF!</v>
      </c>
      <c r="D38" s="185" t="s">
        <v>128</v>
      </c>
      <c r="E38" s="150">
        <f>G34</f>
        <v>3.5049590625</v>
      </c>
      <c r="F38" s="142" t="s">
        <v>36</v>
      </c>
      <c r="G38" s="209" t="e">
        <f>C38-E38</f>
        <v>#REF!</v>
      </c>
      <c r="H38" s="200" t="s">
        <v>0</v>
      </c>
      <c r="I38" s="142"/>
      <c r="J38" s="142"/>
      <c r="L38" s="162"/>
    </row>
    <row r="39" spans="1:12" ht="12.75" hidden="1">
      <c r="A39" s="167"/>
      <c r="B39" s="142"/>
      <c r="C39" s="150"/>
      <c r="D39" s="185"/>
      <c r="E39" s="150"/>
      <c r="F39" s="142"/>
      <c r="G39" s="210"/>
      <c r="H39" s="142"/>
      <c r="I39" s="142"/>
      <c r="J39" s="142"/>
      <c r="L39" s="162"/>
    </row>
    <row r="40" spans="1:12" ht="12.75" hidden="1">
      <c r="A40" s="163" t="s">
        <v>129</v>
      </c>
      <c r="B40" s="164" t="s">
        <v>130</v>
      </c>
      <c r="C40" s="165"/>
      <c r="D40" s="165"/>
      <c r="E40" s="165"/>
      <c r="F40" s="141"/>
      <c r="G40" s="165"/>
      <c r="H40" s="142"/>
      <c r="I40" s="150"/>
      <c r="J40" s="150"/>
      <c r="K40" s="137"/>
      <c r="L40" s="166"/>
    </row>
    <row r="41" spans="1:12" ht="12.75" hidden="1">
      <c r="A41" s="163"/>
      <c r="B41" s="164"/>
      <c r="C41" s="165"/>
      <c r="D41" s="165" t="s">
        <v>131</v>
      </c>
      <c r="E41" s="165"/>
      <c r="F41" s="165" t="s">
        <v>132</v>
      </c>
      <c r="G41" s="165"/>
      <c r="H41" s="142"/>
      <c r="I41" s="150"/>
      <c r="J41" s="150"/>
      <c r="K41" s="137"/>
      <c r="L41" s="166"/>
    </row>
    <row r="42" spans="1:12" ht="12.75" hidden="1">
      <c r="A42" s="167" t="s">
        <v>133</v>
      </c>
      <c r="B42" s="142" t="s">
        <v>134</v>
      </c>
      <c r="C42" s="142"/>
      <c r="D42" s="211">
        <v>1.2</v>
      </c>
      <c r="E42" s="212" t="s">
        <v>45</v>
      </c>
      <c r="F42" s="213">
        <v>1.7</v>
      </c>
      <c r="G42" s="150"/>
      <c r="H42" s="142"/>
      <c r="I42" s="142"/>
      <c r="J42" s="142"/>
      <c r="K42" s="138">
        <f>D42+F42</f>
        <v>2.9</v>
      </c>
      <c r="L42" s="139" t="s">
        <v>2</v>
      </c>
    </row>
    <row r="43" spans="1:12" ht="12.75" hidden="1">
      <c r="A43" s="167" t="s">
        <v>135</v>
      </c>
      <c r="B43" s="142" t="s">
        <v>136</v>
      </c>
      <c r="C43" s="142"/>
      <c r="D43" s="214"/>
      <c r="E43" s="215"/>
      <c r="F43" s="216"/>
      <c r="G43" s="150"/>
      <c r="H43" s="142"/>
      <c r="I43" s="142"/>
      <c r="J43" s="142"/>
      <c r="K43" s="138">
        <f>K42</f>
        <v>2.9</v>
      </c>
      <c r="L43" s="139" t="s">
        <v>2</v>
      </c>
    </row>
    <row r="44" spans="1:12" ht="12.75" hidden="1">
      <c r="A44" s="167" t="s">
        <v>137</v>
      </c>
      <c r="B44" s="217" t="s">
        <v>138</v>
      </c>
      <c r="C44" s="142"/>
      <c r="D44" s="214">
        <v>57</v>
      </c>
      <c r="E44" s="215" t="s">
        <v>45</v>
      </c>
      <c r="F44" s="216">
        <v>84.8</v>
      </c>
      <c r="G44" s="150"/>
      <c r="H44" s="142"/>
      <c r="I44" s="142"/>
      <c r="J44" s="142"/>
      <c r="K44" s="138">
        <f>D44+F44</f>
        <v>141.8</v>
      </c>
      <c r="L44" s="139" t="s">
        <v>11</v>
      </c>
    </row>
    <row r="45" spans="1:12" ht="12.75" hidden="1">
      <c r="A45" s="167" t="s">
        <v>139</v>
      </c>
      <c r="B45" s="217" t="s">
        <v>140</v>
      </c>
      <c r="C45" s="142"/>
      <c r="D45" s="214">
        <v>6.4</v>
      </c>
      <c r="E45" s="215" t="s">
        <v>45</v>
      </c>
      <c r="F45" s="216">
        <v>35.2</v>
      </c>
      <c r="G45" s="142"/>
      <c r="H45" s="142"/>
      <c r="I45" s="142"/>
      <c r="J45" s="188"/>
      <c r="K45" s="138">
        <f>D45+F45</f>
        <v>41.6</v>
      </c>
      <c r="L45" s="139" t="s">
        <v>11</v>
      </c>
    </row>
    <row r="46" spans="1:12" ht="12.75" hidden="1">
      <c r="A46" s="167" t="s">
        <v>141</v>
      </c>
      <c r="B46" s="217" t="s">
        <v>142</v>
      </c>
      <c r="C46" s="142"/>
      <c r="D46" s="218">
        <v>10.87</v>
      </c>
      <c r="E46" s="219" t="s">
        <v>45</v>
      </c>
      <c r="F46" s="220">
        <v>33.48</v>
      </c>
      <c r="G46" s="142"/>
      <c r="H46" s="142"/>
      <c r="I46" s="142"/>
      <c r="J46" s="188"/>
      <c r="K46" s="138">
        <f>D46+F46</f>
        <v>44.349999999999994</v>
      </c>
      <c r="L46" s="139" t="s">
        <v>0</v>
      </c>
    </row>
    <row r="47" spans="1:12" ht="12.75" hidden="1">
      <c r="A47" s="167" t="s">
        <v>143</v>
      </c>
      <c r="B47" s="145" t="s">
        <v>42</v>
      </c>
      <c r="C47" s="221">
        <f>J10</f>
        <v>41.949999999999996</v>
      </c>
      <c r="D47" s="185" t="s">
        <v>144</v>
      </c>
      <c r="E47" s="150">
        <f>G13</f>
        <v>0.3</v>
      </c>
      <c r="F47" s="185" t="s">
        <v>45</v>
      </c>
      <c r="G47" s="150">
        <f>G13</f>
        <v>0.3</v>
      </c>
      <c r="H47" s="185" t="s">
        <v>45</v>
      </c>
      <c r="I47" s="210">
        <f>E12</f>
        <v>0.12</v>
      </c>
      <c r="J47" s="185" t="s">
        <v>145</v>
      </c>
      <c r="K47" s="222">
        <f>ROUND(C47*(E47+G47+I47),2)</f>
        <v>30.2</v>
      </c>
      <c r="L47" s="223" t="s">
        <v>0</v>
      </c>
    </row>
    <row r="48" spans="1:12" ht="13.5" hidden="1" thickBot="1">
      <c r="A48" s="224"/>
      <c r="B48" s="225"/>
      <c r="C48" s="226"/>
      <c r="D48" s="226"/>
      <c r="E48" s="226"/>
      <c r="F48" s="226"/>
      <c r="G48" s="226"/>
      <c r="H48" s="226"/>
      <c r="I48" s="226"/>
      <c r="J48" s="226"/>
      <c r="K48" s="227"/>
      <c r="L48" s="228"/>
    </row>
    <row r="49" spans="1:12" ht="12.75" hidden="1">
      <c r="A49" s="229"/>
      <c r="B49" s="230"/>
      <c r="C49" s="101"/>
      <c r="D49" s="101"/>
      <c r="E49" s="101"/>
      <c r="F49" s="101"/>
      <c r="G49" s="101"/>
      <c r="H49" s="101"/>
      <c r="I49" s="101"/>
      <c r="J49" s="101"/>
      <c r="K49" s="230"/>
      <c r="L49" s="231"/>
    </row>
    <row r="50" spans="1:12" ht="12.75" hidden="1">
      <c r="A50" s="131">
        <v>2</v>
      </c>
      <c r="B50" s="132" t="s">
        <v>146</v>
      </c>
      <c r="K50" s="132"/>
      <c r="L50" s="134"/>
    </row>
    <row r="51" spans="1:12" ht="12.75" hidden="1">
      <c r="A51" s="131" t="s">
        <v>103</v>
      </c>
      <c r="B51" s="1094" t="s">
        <v>104</v>
      </c>
      <c r="C51" s="1094"/>
      <c r="D51" s="232"/>
      <c r="E51" s="132"/>
      <c r="F51" s="132"/>
      <c r="K51" s="132"/>
      <c r="L51" s="134"/>
    </row>
    <row r="52" spans="1:24" ht="12.75" hidden="1">
      <c r="A52" s="233" t="s">
        <v>105</v>
      </c>
      <c r="B52" s="234" t="s">
        <v>106</v>
      </c>
      <c r="C52" s="234"/>
      <c r="D52" s="234"/>
      <c r="E52" s="234"/>
      <c r="F52" s="234"/>
      <c r="G52" s="234"/>
      <c r="H52" s="234"/>
      <c r="I52" s="235"/>
      <c r="J52" s="235"/>
      <c r="K52" s="146">
        <v>50.47</v>
      </c>
      <c r="L52" s="147" t="s">
        <v>101</v>
      </c>
      <c r="M52" s="32"/>
      <c r="N52" s="133"/>
      <c r="O52" s="1088"/>
      <c r="P52" s="1088"/>
      <c r="Q52" s="133"/>
      <c r="R52" s="133"/>
      <c r="S52" s="1088"/>
      <c r="T52" s="1088"/>
      <c r="U52" s="133"/>
      <c r="V52" s="133"/>
      <c r="W52" s="132"/>
      <c r="X52" s="132"/>
    </row>
    <row r="53" spans="1:14" ht="12.75" hidden="1">
      <c r="A53" s="233"/>
      <c r="B53" s="235" t="s">
        <v>107</v>
      </c>
      <c r="C53" s="235"/>
      <c r="D53" s="235"/>
      <c r="E53" s="235"/>
      <c r="F53" s="235"/>
      <c r="G53" s="235"/>
      <c r="H53" s="235"/>
      <c r="I53" s="235"/>
      <c r="J53" s="236">
        <f>3.22+2.55+2.92+2.92+2.92+2.7+7.22+4.45+2.1+2.8+0.15+8</f>
        <v>41.949999999999996</v>
      </c>
      <c r="K53" s="151" t="s">
        <v>12</v>
      </c>
      <c r="L53" s="134"/>
      <c r="M53" s="47">
        <v>38.35</v>
      </c>
      <c r="N53" s="152">
        <f>M53-J53</f>
        <v>-3.5999999999999943</v>
      </c>
    </row>
    <row r="54" spans="1:14" ht="12.75" hidden="1">
      <c r="A54" s="237"/>
      <c r="B54" s="235" t="s">
        <v>18</v>
      </c>
      <c r="C54" s="235"/>
      <c r="D54" s="238"/>
      <c r="E54" s="234"/>
      <c r="F54" s="235"/>
      <c r="G54" s="235"/>
      <c r="H54" s="235"/>
      <c r="I54" s="236"/>
      <c r="J54" s="236"/>
      <c r="K54" s="132"/>
      <c r="L54" s="134"/>
      <c r="M54" s="47">
        <v>39.55</v>
      </c>
      <c r="N54" s="152">
        <f>J53-M54</f>
        <v>2.3999999999999986</v>
      </c>
    </row>
    <row r="55" spans="1:12" ht="12.75" hidden="1">
      <c r="A55" s="239"/>
      <c r="B55" s="235"/>
      <c r="C55" s="235"/>
      <c r="D55" s="240">
        <v>0.15</v>
      </c>
      <c r="E55" s="240">
        <v>0.1</v>
      </c>
      <c r="F55" s="240">
        <v>0.15</v>
      </c>
      <c r="G55" s="235"/>
      <c r="H55" s="235"/>
      <c r="I55" s="235"/>
      <c r="J55" s="235"/>
      <c r="L55" s="162"/>
    </row>
    <row r="56" spans="1:12" ht="13.5" hidden="1" thickBot="1">
      <c r="A56" s="239"/>
      <c r="B56" s="235"/>
      <c r="C56" s="241"/>
      <c r="D56" s="235"/>
      <c r="E56" s="242" t="s">
        <v>19</v>
      </c>
      <c r="F56" s="243"/>
      <c r="G56" s="244"/>
      <c r="H56" s="235"/>
      <c r="I56" s="245"/>
      <c r="J56" s="245"/>
      <c r="K56" s="246"/>
      <c r="L56" s="166"/>
    </row>
    <row r="57" spans="1:12" ht="13.5" hidden="1" thickTop="1">
      <c r="A57" s="1095">
        <v>0.4</v>
      </c>
      <c r="B57" s="247"/>
      <c r="C57" s="248"/>
      <c r="D57" s="1098"/>
      <c r="E57" s="1099">
        <v>0.04</v>
      </c>
      <c r="F57" s="1101" t="s">
        <v>20</v>
      </c>
      <c r="G57" s="1101"/>
      <c r="H57" s="1102"/>
      <c r="I57" s="249">
        <v>0.05</v>
      </c>
      <c r="J57" s="250"/>
      <c r="K57" s="1103">
        <f>J58+I57</f>
        <v>0.53</v>
      </c>
      <c r="L57" s="166"/>
    </row>
    <row r="58" spans="1:12" ht="12.75" hidden="1">
      <c r="A58" s="1096"/>
      <c r="B58" s="251"/>
      <c r="C58" s="235"/>
      <c r="D58" s="1098"/>
      <c r="E58" s="1100"/>
      <c r="F58" s="1106" t="s">
        <v>21</v>
      </c>
      <c r="G58" s="1107"/>
      <c r="H58" s="1108"/>
      <c r="I58" s="252">
        <v>0.15</v>
      </c>
      <c r="J58" s="1109">
        <f>I58+I64+I65+I59</f>
        <v>0.48000000000000004</v>
      </c>
      <c r="K58" s="1104"/>
      <c r="L58" s="166"/>
    </row>
    <row r="59" spans="1:12" ht="12.75" hidden="1">
      <c r="A59" s="1096"/>
      <c r="B59" s="253">
        <v>0.06</v>
      </c>
      <c r="C59" s="254"/>
      <c r="D59" s="255"/>
      <c r="E59" s="256" t="s">
        <v>22</v>
      </c>
      <c r="F59" s="1112">
        <v>0.2</v>
      </c>
      <c r="G59" s="257"/>
      <c r="H59" s="258"/>
      <c r="I59" s="1115">
        <v>0.2</v>
      </c>
      <c r="J59" s="1110"/>
      <c r="K59" s="1104"/>
      <c r="L59" s="166"/>
    </row>
    <row r="60" spans="1:12" ht="12.75" hidden="1">
      <c r="A60" s="1096"/>
      <c r="B60" s="259"/>
      <c r="C60" s="260"/>
      <c r="D60" s="261"/>
      <c r="E60" s="262"/>
      <c r="F60" s="1113"/>
      <c r="G60" s="257"/>
      <c r="H60" s="258"/>
      <c r="I60" s="1115"/>
      <c r="J60" s="1110"/>
      <c r="K60" s="1104"/>
      <c r="L60" s="166"/>
    </row>
    <row r="61" spans="1:12" ht="12.75" hidden="1">
      <c r="A61" s="1096"/>
      <c r="B61" s="263"/>
      <c r="C61" s="260"/>
      <c r="D61" s="261" t="s">
        <v>23</v>
      </c>
      <c r="E61" s="1117" t="s">
        <v>147</v>
      </c>
      <c r="F61" s="1113"/>
      <c r="G61" s="257"/>
      <c r="H61" s="258"/>
      <c r="I61" s="1115"/>
      <c r="J61" s="1110"/>
      <c r="K61" s="1104"/>
      <c r="L61" s="166"/>
    </row>
    <row r="62" spans="1:12" ht="12.75" hidden="1">
      <c r="A62" s="1096"/>
      <c r="B62" s="263"/>
      <c r="C62" s="264" t="s">
        <v>24</v>
      </c>
      <c r="D62" s="261"/>
      <c r="E62" s="1118"/>
      <c r="F62" s="1113"/>
      <c r="G62" s="257"/>
      <c r="H62" s="258"/>
      <c r="I62" s="1115"/>
      <c r="J62" s="1110"/>
      <c r="K62" s="1104"/>
      <c r="L62" s="166"/>
    </row>
    <row r="63" spans="1:12" ht="12.75" hidden="1">
      <c r="A63" s="1097"/>
      <c r="B63" s="265"/>
      <c r="C63" s="260"/>
      <c r="D63" s="266"/>
      <c r="E63" s="267"/>
      <c r="F63" s="1114"/>
      <c r="G63" s="268"/>
      <c r="H63" s="258"/>
      <c r="I63" s="1116"/>
      <c r="J63" s="1110"/>
      <c r="K63" s="1104"/>
      <c r="L63" s="166"/>
    </row>
    <row r="64" spans="1:12" ht="12.75" hidden="1">
      <c r="A64" s="1095">
        <f>I64+I65</f>
        <v>0.13</v>
      </c>
      <c r="B64" s="269"/>
      <c r="C64" s="260"/>
      <c r="D64" s="1119" t="s">
        <v>148</v>
      </c>
      <c r="E64" s="1120"/>
      <c r="F64" s="1121"/>
      <c r="G64" s="270" t="s">
        <v>149</v>
      </c>
      <c r="H64" s="258"/>
      <c r="I64" s="271">
        <v>0.1</v>
      </c>
      <c r="J64" s="1110"/>
      <c r="K64" s="1104"/>
      <c r="L64" s="166"/>
    </row>
    <row r="65" spans="1:12" ht="13.5" hidden="1" thickBot="1">
      <c r="A65" s="1097"/>
      <c r="B65" s="272"/>
      <c r="C65" s="273"/>
      <c r="D65" s="1122"/>
      <c r="E65" s="1122"/>
      <c r="F65" s="1122"/>
      <c r="G65" s="273"/>
      <c r="H65" s="274"/>
      <c r="I65" s="275">
        <v>0.03</v>
      </c>
      <c r="J65" s="1111"/>
      <c r="K65" s="1105"/>
      <c r="L65" s="166"/>
    </row>
    <row r="66" spans="1:12" ht="12.75" hidden="1">
      <c r="A66" s="239"/>
      <c r="B66" s="244"/>
      <c r="C66" s="276"/>
      <c r="D66" s="277"/>
      <c r="E66" s="277">
        <v>0.4</v>
      </c>
      <c r="F66" s="235" t="s">
        <v>150</v>
      </c>
      <c r="G66" s="276"/>
      <c r="H66" s="277"/>
      <c r="I66" s="235"/>
      <c r="J66" s="278"/>
      <c r="K66" s="279"/>
      <c r="L66" s="166"/>
    </row>
    <row r="67" spans="1:12" ht="12.75" hidden="1">
      <c r="A67" s="280"/>
      <c r="B67" s="281"/>
      <c r="C67" s="282"/>
      <c r="D67" s="282"/>
      <c r="E67" s="282"/>
      <c r="F67" s="251"/>
      <c r="G67" s="282"/>
      <c r="H67" s="235"/>
      <c r="I67" s="236"/>
      <c r="J67" s="236"/>
      <c r="K67" s="137"/>
      <c r="L67" s="166"/>
    </row>
    <row r="68" spans="1:12" ht="12.75" hidden="1">
      <c r="A68" s="283" t="s">
        <v>110</v>
      </c>
      <c r="B68" s="235" t="s">
        <v>25</v>
      </c>
      <c r="C68" s="235"/>
      <c r="D68" s="284">
        <f>J53</f>
        <v>41.949999999999996</v>
      </c>
      <c r="E68" s="285" t="s">
        <v>32</v>
      </c>
      <c r="F68" s="284">
        <f>I59+I64+I65</f>
        <v>0.33000000000000007</v>
      </c>
      <c r="G68" s="285" t="s">
        <v>32</v>
      </c>
      <c r="H68" s="284">
        <f>E66</f>
        <v>0.4</v>
      </c>
      <c r="I68" s="284"/>
      <c r="J68" s="286"/>
      <c r="K68" s="138">
        <f>ROUND(H68*F68*D68,2)</f>
        <v>5.54</v>
      </c>
      <c r="L68" s="139" t="s">
        <v>2</v>
      </c>
    </row>
    <row r="69" spans="1:12" ht="12.75" hidden="1">
      <c r="A69" s="283" t="s">
        <v>113</v>
      </c>
      <c r="B69" s="235" t="s">
        <v>27</v>
      </c>
      <c r="C69" s="236"/>
      <c r="D69" s="284">
        <f>J53</f>
        <v>41.949999999999996</v>
      </c>
      <c r="E69" s="285" t="s">
        <v>32</v>
      </c>
      <c r="F69" s="284">
        <f>E66</f>
        <v>0.4</v>
      </c>
      <c r="G69" s="284"/>
      <c r="H69" s="284"/>
      <c r="I69" s="284"/>
      <c r="J69" s="286"/>
      <c r="K69" s="138">
        <f>ROUND(D69*F69,2)</f>
        <v>16.78</v>
      </c>
      <c r="L69" s="139" t="s">
        <v>0</v>
      </c>
    </row>
    <row r="70" spans="1:12" ht="12.75" hidden="1">
      <c r="A70" s="283" t="s">
        <v>114</v>
      </c>
      <c r="B70" s="235" t="s">
        <v>29</v>
      </c>
      <c r="C70" s="284">
        <f>D55</f>
        <v>0.15</v>
      </c>
      <c r="D70" s="284">
        <f>F59</f>
        <v>0.2</v>
      </c>
      <c r="E70" s="284">
        <f>J53</f>
        <v>41.949999999999996</v>
      </c>
      <c r="F70" s="285" t="s">
        <v>115</v>
      </c>
      <c r="G70" s="284">
        <f>F55</f>
        <v>0.15</v>
      </c>
      <c r="H70" s="284">
        <f>F59</f>
        <v>0.2</v>
      </c>
      <c r="I70" s="284">
        <f>J53</f>
        <v>41.949999999999996</v>
      </c>
      <c r="J70" s="235" t="s">
        <v>43</v>
      </c>
      <c r="K70" s="138">
        <f>ROUND((C70*D70*E70)+(G70*H70*I70),2)</f>
        <v>2.52</v>
      </c>
      <c r="L70" s="139" t="s">
        <v>2</v>
      </c>
    </row>
    <row r="71" spans="1:12" ht="12.75" hidden="1">
      <c r="A71" s="283" t="s">
        <v>116</v>
      </c>
      <c r="B71" s="235" t="s">
        <v>117</v>
      </c>
      <c r="C71" s="235"/>
      <c r="D71" s="236"/>
      <c r="E71" s="235"/>
      <c r="F71" s="235"/>
      <c r="G71" s="235"/>
      <c r="H71" s="235"/>
      <c r="I71" s="235"/>
      <c r="J71" s="235"/>
      <c r="K71" s="138" t="e">
        <f>ROUND(G78+G82,2)</f>
        <v>#REF!</v>
      </c>
      <c r="L71" s="139" t="s">
        <v>2</v>
      </c>
    </row>
    <row r="72" spans="1:12" ht="12.75" hidden="1">
      <c r="A72" s="287"/>
      <c r="B72" s="288" t="s">
        <v>118</v>
      </c>
      <c r="C72" s="289" t="s">
        <v>119</v>
      </c>
      <c r="D72" s="290" t="s">
        <v>120</v>
      </c>
      <c r="E72" s="291">
        <v>1.5</v>
      </c>
      <c r="F72" s="292">
        <f>3.1417*1.3/D73*E72</f>
        <v>1.5315787500000002</v>
      </c>
      <c r="G72" s="293" t="s">
        <v>2</v>
      </c>
      <c r="H72" s="294" t="s">
        <v>121</v>
      </c>
      <c r="I72" s="235"/>
      <c r="J72" s="235"/>
      <c r="K72" s="137"/>
      <c r="L72" s="183"/>
    </row>
    <row r="73" spans="1:12" ht="12.75" hidden="1">
      <c r="A73" s="287"/>
      <c r="B73" s="295"/>
      <c r="C73" s="296"/>
      <c r="D73" s="285">
        <v>4</v>
      </c>
      <c r="E73" s="297"/>
      <c r="F73" s="298"/>
      <c r="G73" s="299"/>
      <c r="H73" s="294"/>
      <c r="I73" s="235"/>
      <c r="J73" s="235"/>
      <c r="K73" s="137"/>
      <c r="L73" s="183"/>
    </row>
    <row r="74" spans="1:12" ht="12.75" hidden="1">
      <c r="A74" s="287"/>
      <c r="B74" s="295" t="s">
        <v>122</v>
      </c>
      <c r="C74" s="296" t="s">
        <v>119</v>
      </c>
      <c r="D74" s="300" t="s">
        <v>120</v>
      </c>
      <c r="E74" s="301">
        <v>3</v>
      </c>
      <c r="F74" s="302">
        <f>3.1417*1.1/D75*E74</f>
        <v>2.5919025</v>
      </c>
      <c r="G74" s="303" t="s">
        <v>2</v>
      </c>
      <c r="H74" s="294" t="s">
        <v>123</v>
      </c>
      <c r="I74" s="235"/>
      <c r="J74" s="235"/>
      <c r="K74" s="137"/>
      <c r="L74" s="183"/>
    </row>
    <row r="75" spans="1:12" ht="12.75" hidden="1">
      <c r="A75" s="287"/>
      <c r="B75" s="304"/>
      <c r="C75" s="235"/>
      <c r="D75" s="285">
        <v>4</v>
      </c>
      <c r="E75" s="285"/>
      <c r="F75" s="298"/>
      <c r="G75" s="299"/>
      <c r="H75" s="235"/>
      <c r="I75" s="235"/>
      <c r="J75" s="235"/>
      <c r="K75" s="137"/>
      <c r="L75" s="183"/>
    </row>
    <row r="76" spans="1:12" ht="12.75" hidden="1">
      <c r="A76" s="287"/>
      <c r="B76" s="1123" t="s">
        <v>124</v>
      </c>
      <c r="C76" s="1124"/>
      <c r="D76" s="305"/>
      <c r="E76" s="305"/>
      <c r="F76" s="306">
        <f>F72+F74</f>
        <v>4.12348125</v>
      </c>
      <c r="G76" s="307" t="s">
        <v>2</v>
      </c>
      <c r="H76" s="235"/>
      <c r="I76" s="235"/>
      <c r="J76" s="235"/>
      <c r="K76" s="137"/>
      <c r="L76" s="183"/>
    </row>
    <row r="77" spans="1:12" ht="12.75" hidden="1">
      <c r="A77" s="287"/>
      <c r="B77" s="308"/>
      <c r="C77" s="308"/>
      <c r="D77" s="309"/>
      <c r="E77" s="309"/>
      <c r="F77" s="309"/>
      <c r="G77" s="309"/>
      <c r="H77" s="235"/>
      <c r="I77" s="235"/>
      <c r="J77" s="235"/>
      <c r="K77" s="137"/>
      <c r="L77" s="183"/>
    </row>
    <row r="78" spans="1:12" ht="12.75" hidden="1">
      <c r="A78" s="233" t="s">
        <v>151</v>
      </c>
      <c r="B78" s="235"/>
      <c r="C78" s="296"/>
      <c r="D78" s="296"/>
      <c r="E78" s="235"/>
      <c r="F78" s="235"/>
      <c r="G78" s="310">
        <f>G79</f>
        <v>3.5049590625</v>
      </c>
      <c r="H78" s="311" t="s">
        <v>2</v>
      </c>
      <c r="I78" s="235"/>
      <c r="J78" s="235"/>
      <c r="K78" s="137"/>
      <c r="L78" s="183"/>
    </row>
    <row r="79" spans="1:12" ht="12.75" hidden="1">
      <c r="A79" s="1125" t="s">
        <v>126</v>
      </c>
      <c r="B79" s="1126"/>
      <c r="C79" s="1126"/>
      <c r="D79" s="1126"/>
      <c r="E79" s="312">
        <f>F76</f>
        <v>4.12348125</v>
      </c>
      <c r="F79" s="313" t="s">
        <v>127</v>
      </c>
      <c r="G79" s="312">
        <f>E79*0.85</f>
        <v>3.5049590625</v>
      </c>
      <c r="H79" s="314" t="s">
        <v>2</v>
      </c>
      <c r="I79" s="235"/>
      <c r="J79" s="235"/>
      <c r="K79" s="137"/>
      <c r="L79" s="183"/>
    </row>
    <row r="80" spans="1:12" ht="12.75" hidden="1">
      <c r="A80" s="233"/>
      <c r="B80" s="315"/>
      <c r="C80" s="316"/>
      <c r="D80" s="317"/>
      <c r="E80" s="317"/>
      <c r="F80" s="235"/>
      <c r="G80" s="235"/>
      <c r="H80" s="235"/>
      <c r="I80" s="235"/>
      <c r="J80" s="235"/>
      <c r="K80" s="207"/>
      <c r="L80" s="183"/>
    </row>
    <row r="81" spans="1:12" ht="12.75" hidden="1">
      <c r="A81" s="283" t="s">
        <v>31</v>
      </c>
      <c r="B81" s="235"/>
      <c r="C81" s="318" t="e">
        <f>#REF!</f>
        <v>#REF!</v>
      </c>
      <c r="D81" s="311" t="s">
        <v>0</v>
      </c>
      <c r="E81" s="285" t="s">
        <v>32</v>
      </c>
      <c r="F81" s="284">
        <f>I58</f>
        <v>0.15</v>
      </c>
      <c r="G81" s="285" t="s">
        <v>36</v>
      </c>
      <c r="H81" s="301" t="e">
        <f>C81*F81</f>
        <v>#REF!</v>
      </c>
      <c r="I81" s="235"/>
      <c r="J81" s="235"/>
      <c r="K81" s="137"/>
      <c r="L81" s="183"/>
    </row>
    <row r="82" spans="1:12" ht="12.75" hidden="1">
      <c r="A82" s="283"/>
      <c r="B82" s="235"/>
      <c r="C82" s="236" t="e">
        <f>H81</f>
        <v>#REF!</v>
      </c>
      <c r="D82" s="296" t="s">
        <v>128</v>
      </c>
      <c r="E82" s="236">
        <f>G78</f>
        <v>3.5049590625</v>
      </c>
      <c r="F82" s="235" t="s">
        <v>36</v>
      </c>
      <c r="G82" s="319" t="e">
        <f>C82-E82</f>
        <v>#REF!</v>
      </c>
      <c r="H82" s="311" t="s">
        <v>0</v>
      </c>
      <c r="I82" s="235"/>
      <c r="J82" s="235"/>
      <c r="L82" s="162"/>
    </row>
    <row r="83" spans="1:12" ht="12.75" hidden="1">
      <c r="A83" s="283"/>
      <c r="B83" s="235"/>
      <c r="C83" s="236"/>
      <c r="D83" s="296"/>
      <c r="E83" s="236"/>
      <c r="F83" s="235"/>
      <c r="G83" s="320"/>
      <c r="H83" s="235"/>
      <c r="I83" s="235"/>
      <c r="J83" s="235"/>
      <c r="L83" s="162"/>
    </row>
    <row r="84" spans="1:12" ht="12.75" hidden="1">
      <c r="A84" s="280" t="s">
        <v>129</v>
      </c>
      <c r="B84" s="281" t="s">
        <v>130</v>
      </c>
      <c r="C84" s="282"/>
      <c r="D84" s="282"/>
      <c r="E84" s="282"/>
      <c r="F84" s="251"/>
      <c r="G84" s="282"/>
      <c r="H84" s="235"/>
      <c r="I84" s="236"/>
      <c r="J84" s="236"/>
      <c r="K84" s="137"/>
      <c r="L84" s="166"/>
    </row>
    <row r="85" spans="1:12" ht="12.75" hidden="1">
      <c r="A85" s="280"/>
      <c r="B85" s="315" t="s">
        <v>152</v>
      </c>
      <c r="C85" s="235"/>
      <c r="D85" s="282"/>
      <c r="E85" s="282"/>
      <c r="F85" s="251"/>
      <c r="G85" s="282"/>
      <c r="H85" s="235"/>
      <c r="I85" s="236"/>
      <c r="J85" s="236"/>
      <c r="K85" s="137"/>
      <c r="L85" s="166"/>
    </row>
    <row r="86" spans="1:12" ht="12.75" hidden="1">
      <c r="A86" s="280"/>
      <c r="B86" s="321" t="s">
        <v>153</v>
      </c>
      <c r="C86" s="322" t="s">
        <v>154</v>
      </c>
      <c r="D86" s="322"/>
      <c r="E86" s="322"/>
      <c r="F86" s="322"/>
      <c r="G86" s="322"/>
      <c r="H86" s="322"/>
      <c r="I86" s="322"/>
      <c r="J86" s="322"/>
      <c r="K86" s="323">
        <f>2.92+2.4+2.92+2.92+5.44+8.15+2.92+3.04+1.8+7.88</f>
        <v>40.39</v>
      </c>
      <c r="L86" s="324" t="s">
        <v>12</v>
      </c>
    </row>
    <row r="87" spans="1:12" ht="12.75" hidden="1">
      <c r="A87" s="283"/>
      <c r="B87" s="235"/>
      <c r="C87" s="236"/>
      <c r="D87" s="296"/>
      <c r="E87" s="236"/>
      <c r="F87" s="235"/>
      <c r="G87" s="320"/>
      <c r="H87" s="235"/>
      <c r="I87" s="235"/>
      <c r="J87" s="235"/>
      <c r="L87" s="162"/>
    </row>
    <row r="88" spans="1:12" ht="12.75" hidden="1">
      <c r="A88" s="283" t="s">
        <v>133</v>
      </c>
      <c r="B88" s="235" t="s">
        <v>33</v>
      </c>
      <c r="C88" s="236"/>
      <c r="D88" s="284">
        <f>$K$86</f>
        <v>40.39</v>
      </c>
      <c r="E88" s="296" t="s">
        <v>32</v>
      </c>
      <c r="F88" s="236">
        <v>0.2</v>
      </c>
      <c r="G88" s="234" t="s">
        <v>155</v>
      </c>
      <c r="H88" s="325">
        <v>1</v>
      </c>
      <c r="I88" s="235"/>
      <c r="J88" s="235"/>
      <c r="K88" s="138">
        <f>ROUND(D88*F88*H88,2)</f>
        <v>8.08</v>
      </c>
      <c r="L88" s="139" t="s">
        <v>0</v>
      </c>
    </row>
    <row r="89" spans="1:12" ht="12.75" hidden="1">
      <c r="A89" s="283" t="s">
        <v>135</v>
      </c>
      <c r="B89" s="235" t="s">
        <v>34</v>
      </c>
      <c r="C89" s="236"/>
      <c r="D89" s="284">
        <f>$K$86</f>
        <v>40.39</v>
      </c>
      <c r="E89" s="296" t="s">
        <v>32</v>
      </c>
      <c r="F89" s="236">
        <v>0.2</v>
      </c>
      <c r="G89" s="234" t="s">
        <v>155</v>
      </c>
      <c r="H89" s="325">
        <v>1</v>
      </c>
      <c r="I89" s="235"/>
      <c r="J89" s="299"/>
      <c r="K89" s="138">
        <f>ROUND(D89*F89*H89,2)</f>
        <v>8.08</v>
      </c>
      <c r="L89" s="139" t="s">
        <v>0</v>
      </c>
    </row>
    <row r="90" spans="1:12" ht="12.75" hidden="1">
      <c r="A90" s="283" t="s">
        <v>137</v>
      </c>
      <c r="B90" s="234" t="s">
        <v>156</v>
      </c>
      <c r="C90" s="235"/>
      <c r="D90" s="284">
        <f>$K$86</f>
        <v>40.39</v>
      </c>
      <c r="E90" s="296" t="s">
        <v>32</v>
      </c>
      <c r="F90" s="236">
        <v>0.3</v>
      </c>
      <c r="G90" s="234" t="s">
        <v>155</v>
      </c>
      <c r="H90" s="320">
        <v>2.2</v>
      </c>
      <c r="I90" s="234" t="s">
        <v>41</v>
      </c>
      <c r="J90" s="299"/>
      <c r="K90" s="326">
        <f>ROUND(D90*F90*H90,2)</f>
        <v>26.66</v>
      </c>
      <c r="L90" s="327" t="s">
        <v>11</v>
      </c>
    </row>
    <row r="91" spans="1:12" ht="12.75" hidden="1">
      <c r="A91" s="283" t="s">
        <v>139</v>
      </c>
      <c r="B91" s="328" t="s">
        <v>157</v>
      </c>
      <c r="C91" s="235"/>
      <c r="D91" s="329"/>
      <c r="E91" s="330"/>
      <c r="F91" s="235"/>
      <c r="G91" s="235"/>
      <c r="H91" s="235"/>
      <c r="I91" s="235"/>
      <c r="J91" s="235"/>
      <c r="K91" s="138">
        <f>I101</f>
        <v>9.01</v>
      </c>
      <c r="L91" s="139" t="s">
        <v>11</v>
      </c>
    </row>
    <row r="92" spans="1:12" ht="12.75" hidden="1">
      <c r="A92" s="233"/>
      <c r="B92" s="328" t="s">
        <v>39</v>
      </c>
      <c r="C92" s="235"/>
      <c r="D92" s="329" t="s">
        <v>158</v>
      </c>
      <c r="E92" s="330" t="s">
        <v>40</v>
      </c>
      <c r="F92" s="331" t="s">
        <v>159</v>
      </c>
      <c r="G92" s="235"/>
      <c r="H92" s="235"/>
      <c r="I92" s="235"/>
      <c r="J92" s="235"/>
      <c r="L92" s="162"/>
    </row>
    <row r="93" spans="1:13" ht="12.75" hidden="1">
      <c r="A93" s="233"/>
      <c r="B93" s="235"/>
      <c r="C93" s="332">
        <v>3.84</v>
      </c>
      <c r="D93" s="332">
        <v>7.63</v>
      </c>
      <c r="E93" s="235"/>
      <c r="F93" s="235"/>
      <c r="G93" s="235"/>
      <c r="H93" s="235"/>
      <c r="I93" s="235"/>
      <c r="J93" s="235"/>
      <c r="L93" s="162"/>
      <c r="M93" s="47">
        <v>46.57</v>
      </c>
    </row>
    <row r="94" spans="1:12" ht="12.75" hidden="1">
      <c r="A94" s="233"/>
      <c r="B94" s="235"/>
      <c r="C94" s="333">
        <v>4.12</v>
      </c>
      <c r="D94" s="333">
        <v>3.72</v>
      </c>
      <c r="E94" s="235"/>
      <c r="F94" s="235"/>
      <c r="G94" s="235"/>
      <c r="H94" s="334"/>
      <c r="I94" s="235"/>
      <c r="J94" s="235"/>
      <c r="L94" s="162"/>
    </row>
    <row r="95" spans="1:12" ht="12.75" hidden="1">
      <c r="A95" s="233"/>
      <c r="B95" s="235"/>
      <c r="C95" s="335">
        <v>3.84</v>
      </c>
      <c r="D95" s="333">
        <v>3.72</v>
      </c>
      <c r="E95" s="235"/>
      <c r="F95" s="235"/>
      <c r="G95" s="235"/>
      <c r="H95" s="334"/>
      <c r="I95" s="235"/>
      <c r="J95" s="235"/>
      <c r="L95" s="162"/>
    </row>
    <row r="96" spans="1:12" ht="12.75" hidden="1">
      <c r="A96" s="233"/>
      <c r="B96" s="235"/>
      <c r="C96" s="333">
        <v>3.84</v>
      </c>
      <c r="D96" s="333">
        <v>2.72</v>
      </c>
      <c r="E96" s="235"/>
      <c r="F96" s="235"/>
      <c r="G96" s="235"/>
      <c r="H96" s="334"/>
      <c r="I96" s="235"/>
      <c r="J96" s="235"/>
      <c r="L96" s="162"/>
    </row>
    <row r="97" spans="1:12" ht="12.75" hidden="1">
      <c r="A97" s="233"/>
      <c r="B97" s="235"/>
      <c r="C97" s="333">
        <v>3.32</v>
      </c>
      <c r="D97" s="335" t="s">
        <v>160</v>
      </c>
      <c r="E97" s="235"/>
      <c r="F97" s="235"/>
      <c r="G97" s="235"/>
      <c r="H97" s="334"/>
      <c r="I97" s="235"/>
      <c r="J97" s="235"/>
      <c r="L97" s="162"/>
    </row>
    <row r="98" spans="1:12" ht="12.75" hidden="1">
      <c r="A98" s="233"/>
      <c r="B98" s="235"/>
      <c r="C98" s="336">
        <v>3.84</v>
      </c>
      <c r="D98" s="337"/>
      <c r="E98" s="235"/>
      <c r="F98" s="235"/>
      <c r="G98" s="235"/>
      <c r="H98" s="334"/>
      <c r="I98" s="235"/>
      <c r="J98" s="235"/>
      <c r="L98" s="162"/>
    </row>
    <row r="99" spans="1:13" ht="12.75" hidden="1">
      <c r="A99" s="233"/>
      <c r="B99" s="235"/>
      <c r="C99" s="338">
        <f>SUM(C93:C98)</f>
        <v>22.8</v>
      </c>
      <c r="D99" s="338">
        <f>SUM(D93:D98)</f>
        <v>17.79</v>
      </c>
      <c r="E99" s="296" t="s">
        <v>36</v>
      </c>
      <c r="F99" s="339">
        <f>C99+D99</f>
        <v>40.59</v>
      </c>
      <c r="G99" s="235"/>
      <c r="H99" s="334"/>
      <c r="I99" s="235"/>
      <c r="J99" s="235"/>
      <c r="L99" s="162"/>
      <c r="M99" s="47">
        <v>48.35</v>
      </c>
    </row>
    <row r="100" spans="1:12" ht="12.75" hidden="1">
      <c r="A100" s="233"/>
      <c r="B100" s="235"/>
      <c r="C100" s="235"/>
      <c r="D100" s="235"/>
      <c r="E100" s="235"/>
      <c r="F100" s="235"/>
      <c r="G100" s="235"/>
      <c r="H100" s="334"/>
      <c r="I100" s="235"/>
      <c r="J100" s="235"/>
      <c r="L100" s="162"/>
    </row>
    <row r="101" spans="1:12" ht="12.75" hidden="1">
      <c r="A101" s="233"/>
      <c r="B101" s="328" t="s">
        <v>161</v>
      </c>
      <c r="C101" s="235">
        <v>1</v>
      </c>
      <c r="D101" s="340" t="s">
        <v>26</v>
      </c>
      <c r="E101" s="339">
        <f>F99</f>
        <v>40.59</v>
      </c>
      <c r="F101" s="340" t="s">
        <v>26</v>
      </c>
      <c r="G101" s="341">
        <v>0.222</v>
      </c>
      <c r="H101" s="340" t="s">
        <v>41</v>
      </c>
      <c r="I101" s="319">
        <f>ROUND(C101*G101*E101,2)</f>
        <v>9.01</v>
      </c>
      <c r="J101" s="311" t="s">
        <v>11</v>
      </c>
      <c r="K101" s="342"/>
      <c r="L101" s="343"/>
    </row>
    <row r="102" spans="1:12" ht="12.75" hidden="1">
      <c r="A102" s="283" t="s">
        <v>141</v>
      </c>
      <c r="B102" s="235" t="s">
        <v>134</v>
      </c>
      <c r="C102" s="235"/>
      <c r="D102" s="331" t="s">
        <v>35</v>
      </c>
      <c r="E102" s="344">
        <f>$E$66</f>
        <v>0.4</v>
      </c>
      <c r="F102" s="236">
        <f>$I$64</f>
        <v>0.1</v>
      </c>
      <c r="G102" s="345">
        <f>$K$86</f>
        <v>40.39</v>
      </c>
      <c r="H102" s="296" t="s">
        <v>36</v>
      </c>
      <c r="I102" s="319">
        <f>E102*F102*G102</f>
        <v>1.6156000000000004</v>
      </c>
      <c r="J102" s="322" t="s">
        <v>2</v>
      </c>
      <c r="K102" s="138">
        <f>ROUND(I102+I103,2)</f>
        <v>1.78</v>
      </c>
      <c r="L102" s="139" t="s">
        <v>2</v>
      </c>
    </row>
    <row r="103" spans="1:12" ht="12.75" hidden="1">
      <c r="A103" s="283" t="s">
        <v>143</v>
      </c>
      <c r="B103" s="235" t="s">
        <v>37</v>
      </c>
      <c r="C103" s="235"/>
      <c r="D103" s="331" t="s">
        <v>38</v>
      </c>
      <c r="E103" s="236">
        <f>$E$57</f>
        <v>0.04</v>
      </c>
      <c r="F103" s="236">
        <f>$E$55</f>
        <v>0.1</v>
      </c>
      <c r="G103" s="345">
        <f>$G$102</f>
        <v>40.39</v>
      </c>
      <c r="H103" s="296" t="s">
        <v>36</v>
      </c>
      <c r="I103" s="346">
        <f>E103*F103*G103</f>
        <v>0.16156</v>
      </c>
      <c r="J103" s="303" t="s">
        <v>2</v>
      </c>
      <c r="K103" s="207"/>
      <c r="L103" s="183"/>
    </row>
    <row r="104" spans="1:12" ht="12.75" hidden="1">
      <c r="A104" s="283" t="s">
        <v>162</v>
      </c>
      <c r="B104" s="234" t="s">
        <v>163</v>
      </c>
      <c r="C104" s="347">
        <f>$K$86</f>
        <v>40.39</v>
      </c>
      <c r="D104" s="296" t="s">
        <v>26</v>
      </c>
      <c r="E104" s="320">
        <f>$E$66</f>
        <v>0.4</v>
      </c>
      <c r="F104" s="296" t="s">
        <v>26</v>
      </c>
      <c r="G104" s="235">
        <f>$I$65</f>
        <v>0.03</v>
      </c>
      <c r="H104" s="296" t="s">
        <v>36</v>
      </c>
      <c r="I104" s="235"/>
      <c r="J104" s="235"/>
      <c r="K104" s="138">
        <f>ROUND(C104*E104*G104,2)</f>
        <v>0.48</v>
      </c>
      <c r="L104" s="139" t="s">
        <v>2</v>
      </c>
    </row>
    <row r="105" spans="1:12" ht="12.75" hidden="1">
      <c r="A105" s="283" t="s">
        <v>164</v>
      </c>
      <c r="B105" s="234" t="s">
        <v>42</v>
      </c>
      <c r="C105" s="235"/>
      <c r="D105" s="345">
        <f>K86</f>
        <v>40.39</v>
      </c>
      <c r="E105" s="296" t="s">
        <v>26</v>
      </c>
      <c r="F105" s="236">
        <v>0.15</v>
      </c>
      <c r="G105" s="236">
        <v>0.15</v>
      </c>
      <c r="H105" s="320">
        <v>0.1</v>
      </c>
      <c r="I105" s="296" t="s">
        <v>36</v>
      </c>
      <c r="J105" s="348"/>
      <c r="K105" s="222">
        <f>ROUND(D105*(F105+G105+H105),2)</f>
        <v>16.16</v>
      </c>
      <c r="L105" s="223" t="s">
        <v>0</v>
      </c>
    </row>
    <row r="106" spans="1:12" ht="12.75" hidden="1">
      <c r="A106" s="283" t="s">
        <v>165</v>
      </c>
      <c r="B106" s="234" t="s">
        <v>166</v>
      </c>
      <c r="C106" s="235"/>
      <c r="D106" s="349">
        <f>D105</f>
        <v>40.39</v>
      </c>
      <c r="E106" s="296" t="s">
        <v>26</v>
      </c>
      <c r="F106" s="236">
        <v>0.15</v>
      </c>
      <c r="G106" s="236">
        <v>0.15</v>
      </c>
      <c r="H106" s="320">
        <v>0.1</v>
      </c>
      <c r="I106" s="296" t="s">
        <v>36</v>
      </c>
      <c r="J106" s="348"/>
      <c r="K106" s="350">
        <f>K105</f>
        <v>16.16</v>
      </c>
      <c r="L106" s="351" t="s">
        <v>0</v>
      </c>
    </row>
    <row r="107" spans="1:12" s="358" customFormat="1" ht="12.75">
      <c r="A107" s="352"/>
      <c r="B107" s="353"/>
      <c r="C107" s="137"/>
      <c r="D107" s="354"/>
      <c r="E107" s="35"/>
      <c r="F107" s="39"/>
      <c r="G107" s="39"/>
      <c r="H107" s="355"/>
      <c r="I107" s="35"/>
      <c r="J107" s="355"/>
      <c r="K107" s="356"/>
      <c r="L107" s="357"/>
    </row>
    <row r="108" spans="1:12" ht="12.75">
      <c r="A108" s="131">
        <v>2</v>
      </c>
      <c r="B108" s="132" t="s">
        <v>66</v>
      </c>
      <c r="D108" s="30"/>
      <c r="E108" s="30"/>
      <c r="F108" s="30"/>
      <c r="G108" s="30"/>
      <c r="H108" s="30"/>
      <c r="I108" s="359"/>
      <c r="J108" s="30"/>
      <c r="K108" s="30"/>
      <c r="L108" s="360"/>
    </row>
    <row r="109" spans="1:12" ht="4.5" customHeight="1">
      <c r="A109" s="131"/>
      <c r="B109" s="1094"/>
      <c r="C109" s="1094"/>
      <c r="D109" s="30"/>
      <c r="E109" s="30"/>
      <c r="F109" s="30"/>
      <c r="G109" s="30"/>
      <c r="H109" s="30"/>
      <c r="I109" s="137"/>
      <c r="J109" s="137"/>
      <c r="K109" s="137"/>
      <c r="L109" s="183"/>
    </row>
    <row r="110" spans="1:12" ht="12.75">
      <c r="A110" s="135" t="s">
        <v>103</v>
      </c>
      <c r="B110" s="136" t="s">
        <v>167</v>
      </c>
      <c r="C110" s="30"/>
      <c r="D110" s="30"/>
      <c r="E110" s="30"/>
      <c r="F110" s="30"/>
      <c r="G110" s="30"/>
      <c r="H110" s="30"/>
      <c r="I110" s="137"/>
      <c r="K110" s="138">
        <v>200</v>
      </c>
      <c r="L110" s="139" t="s">
        <v>0</v>
      </c>
    </row>
    <row r="111" spans="1:12" ht="12.75">
      <c r="A111" s="135"/>
      <c r="B111" s="136"/>
      <c r="C111" s="30"/>
      <c r="D111" s="30"/>
      <c r="E111" s="30"/>
      <c r="F111" s="30"/>
      <c r="G111" s="30"/>
      <c r="H111" s="30"/>
      <c r="I111" s="137"/>
      <c r="J111" s="137"/>
      <c r="K111" s="137"/>
      <c r="L111" s="134"/>
    </row>
    <row r="112" spans="1:12" ht="7.5" customHeight="1" thickBot="1">
      <c r="A112" s="135"/>
      <c r="B112" s="136"/>
      <c r="C112" s="30"/>
      <c r="D112" s="30"/>
      <c r="E112" s="30"/>
      <c r="F112" s="30"/>
      <c r="G112" s="30"/>
      <c r="H112" s="30"/>
      <c r="I112" s="361"/>
      <c r="J112" s="361"/>
      <c r="K112" s="137"/>
      <c r="L112" s="134"/>
    </row>
    <row r="113" spans="1:12" ht="3.75" customHeight="1">
      <c r="A113" s="135"/>
      <c r="B113" s="1127">
        <f>C113+C116</f>
        <v>0.25</v>
      </c>
      <c r="C113" s="1128">
        <v>0.1</v>
      </c>
      <c r="D113" s="363"/>
      <c r="E113" s="364"/>
      <c r="F113" s="364"/>
      <c r="G113" s="365"/>
      <c r="I113" s="1129">
        <v>0.05</v>
      </c>
      <c r="J113" s="1135">
        <f>ROUND(I113+I115,2)</f>
        <v>0.1</v>
      </c>
      <c r="K113" s="137"/>
      <c r="L113" s="134"/>
    </row>
    <row r="114" spans="1:12" ht="7.5" customHeight="1">
      <c r="A114" s="135"/>
      <c r="B114" s="1127"/>
      <c r="C114" s="1128"/>
      <c r="D114" s="366"/>
      <c r="E114" s="367"/>
      <c r="F114" s="367"/>
      <c r="G114" s="368"/>
      <c r="H114" s="369" t="s">
        <v>168</v>
      </c>
      <c r="I114" s="1130"/>
      <c r="J114" s="1136"/>
      <c r="K114" s="137"/>
      <c r="L114" s="134"/>
    </row>
    <row r="115" spans="1:21" ht="9" customHeight="1" thickBot="1">
      <c r="A115" s="135"/>
      <c r="B115" s="1127"/>
      <c r="C115" s="1128"/>
      <c r="D115" s="370"/>
      <c r="E115" s="371"/>
      <c r="F115" s="371"/>
      <c r="G115" s="372"/>
      <c r="H115" s="373"/>
      <c r="I115" s="374">
        <v>0.05</v>
      </c>
      <c r="J115" s="1137"/>
      <c r="K115" s="137"/>
      <c r="L115" s="134"/>
      <c r="N115" s="126" t="s">
        <v>114</v>
      </c>
      <c r="O115" s="375" t="s">
        <v>169</v>
      </c>
      <c r="P115" s="376"/>
      <c r="Q115" s="376"/>
      <c r="R115" s="376"/>
      <c r="S115" s="376"/>
      <c r="T115" s="376"/>
      <c r="U115" s="377"/>
    </row>
    <row r="116" spans="1:21" ht="26.25" customHeight="1" thickBot="1">
      <c r="A116" s="36"/>
      <c r="B116" s="1127"/>
      <c r="C116" s="378">
        <v>0.15</v>
      </c>
      <c r="D116" s="379"/>
      <c r="E116" s="380"/>
      <c r="F116" s="380"/>
      <c r="G116" s="381"/>
      <c r="H116" s="382"/>
      <c r="I116" s="383">
        <v>0.15</v>
      </c>
      <c r="L116" s="134"/>
      <c r="N116" s="135"/>
      <c r="O116" s="133" t="s">
        <v>117</v>
      </c>
      <c r="P116" s="38"/>
      <c r="Q116" s="38"/>
      <c r="R116" s="38"/>
      <c r="S116" s="384"/>
      <c r="T116" s="384"/>
      <c r="U116" s="385"/>
    </row>
    <row r="117" spans="1:21" ht="12.75">
      <c r="A117" s="135"/>
      <c r="B117" s="386"/>
      <c r="C117" s="362"/>
      <c r="D117" s="387"/>
      <c r="E117" s="388"/>
      <c r="F117" s="388"/>
      <c r="G117" s="1128">
        <v>0.1</v>
      </c>
      <c r="H117" s="389">
        <v>0.15</v>
      </c>
      <c r="I117" s="137"/>
      <c r="J117" s="137"/>
      <c r="K117" s="137"/>
      <c r="L117" s="134"/>
      <c r="N117" s="135"/>
      <c r="O117" s="30" t="s">
        <v>170</v>
      </c>
      <c r="P117" s="133"/>
      <c r="Q117" s="133"/>
      <c r="R117" s="133"/>
      <c r="S117" s="133"/>
      <c r="T117" s="133"/>
      <c r="U117" s="162"/>
    </row>
    <row r="118" spans="1:21" ht="12.75" hidden="1">
      <c r="A118" s="135" t="s">
        <v>113</v>
      </c>
      <c r="B118" s="136" t="s">
        <v>171</v>
      </c>
      <c r="C118" s="30"/>
      <c r="D118" s="30"/>
      <c r="E118" s="390"/>
      <c r="F118" s="391" t="s">
        <v>172</v>
      </c>
      <c r="G118" s="1128" t="s">
        <v>32</v>
      </c>
      <c r="H118" s="39">
        <v>0.1</v>
      </c>
      <c r="I118" s="137"/>
      <c r="J118" s="137"/>
      <c r="K118" s="138">
        <f>ROUND(E118*H118,2)</f>
        <v>0</v>
      </c>
      <c r="L118" s="139" t="s">
        <v>2</v>
      </c>
      <c r="N118" s="135"/>
      <c r="O118" s="392" t="s">
        <v>118</v>
      </c>
      <c r="P118" s="127"/>
      <c r="Q118" s="393" t="s">
        <v>119</v>
      </c>
      <c r="R118" s="97" t="s">
        <v>120</v>
      </c>
      <c r="S118" s="394">
        <v>3</v>
      </c>
      <c r="T118" s="395">
        <f>3.1417*1/R119*S118</f>
        <v>2.356275</v>
      </c>
      <c r="U118" s="293" t="s">
        <v>2</v>
      </c>
    </row>
    <row r="119" spans="1:21" ht="12.75" hidden="1">
      <c r="A119" s="135"/>
      <c r="C119" s="396"/>
      <c r="I119" s="137"/>
      <c r="J119" s="137"/>
      <c r="K119" s="137"/>
      <c r="L119" s="134"/>
      <c r="N119" s="135"/>
      <c r="O119" s="397"/>
      <c r="P119" s="133"/>
      <c r="Q119" s="32"/>
      <c r="R119" s="32">
        <v>4</v>
      </c>
      <c r="S119" s="398"/>
      <c r="T119" s="304"/>
      <c r="U119" s="299"/>
    </row>
    <row r="120" spans="1:25" ht="12.75">
      <c r="A120" s="135" t="s">
        <v>129</v>
      </c>
      <c r="B120" s="136" t="s">
        <v>173</v>
      </c>
      <c r="C120" s="30"/>
      <c r="E120" s="399"/>
      <c r="F120" s="30"/>
      <c r="G120" s="400" t="s">
        <v>174</v>
      </c>
      <c r="H120" s="399"/>
      <c r="I120" s="400" t="s">
        <v>175</v>
      </c>
      <c r="J120" s="137"/>
      <c r="L120" s="162"/>
      <c r="N120" s="135"/>
      <c r="O120" s="397" t="s">
        <v>122</v>
      </c>
      <c r="P120" s="133"/>
      <c r="Q120" s="32" t="s">
        <v>119</v>
      </c>
      <c r="R120" s="33" t="s">
        <v>120</v>
      </c>
      <c r="S120" s="398">
        <v>2</v>
      </c>
      <c r="T120" s="401">
        <f>3.1417*1/R121*S120</f>
        <v>1.57085</v>
      </c>
      <c r="U120" s="303" t="s">
        <v>2</v>
      </c>
      <c r="V120" s="137"/>
      <c r="W120" s="133"/>
      <c r="X120" s="402">
        <f>ROUND(T122,2)</f>
        <v>3.93</v>
      </c>
      <c r="Y120" s="139" t="s">
        <v>2</v>
      </c>
    </row>
    <row r="121" spans="1:25" ht="12.75">
      <c r="A121" s="135"/>
      <c r="B121" s="136" t="s">
        <v>176</v>
      </c>
      <c r="C121" s="30"/>
      <c r="E121" s="403">
        <f>F122</f>
        <v>31.72</v>
      </c>
      <c r="F121" s="404" t="s">
        <v>177</v>
      </c>
      <c r="G121" s="405">
        <f>$C$116</f>
        <v>0.15</v>
      </c>
      <c r="H121" s="404" t="s">
        <v>178</v>
      </c>
      <c r="I121" s="406">
        <f>$G$117</f>
        <v>0.1</v>
      </c>
      <c r="J121" s="137"/>
      <c r="K121" s="138">
        <f>ROUND(E121*G121*I121,2)</f>
        <v>0.48</v>
      </c>
      <c r="L121" s="139" t="s">
        <v>2</v>
      </c>
      <c r="N121" s="135"/>
      <c r="O121" s="31"/>
      <c r="P121" s="133"/>
      <c r="Q121" s="133"/>
      <c r="R121" s="32">
        <v>4</v>
      </c>
      <c r="S121" s="32"/>
      <c r="T121" s="304"/>
      <c r="U121" s="299"/>
      <c r="V121" s="384"/>
      <c r="W121" s="133"/>
      <c r="X121" s="407"/>
      <c r="Y121" s="408"/>
    </row>
    <row r="122" spans="1:25" ht="12.75">
      <c r="A122" s="409" t="s">
        <v>179</v>
      </c>
      <c r="B122" s="410" t="s">
        <v>180</v>
      </c>
      <c r="C122" s="410"/>
      <c r="D122" s="410"/>
      <c r="E122" s="410"/>
      <c r="F122" s="411">
        <f>4.39+2.95+2.95+4.39+8.62+0.4+0.62+7.4</f>
        <v>31.72</v>
      </c>
      <c r="G122" s="411" t="s">
        <v>12</v>
      </c>
      <c r="H122" s="137"/>
      <c r="I122" s="137"/>
      <c r="J122" s="137"/>
      <c r="L122" s="412"/>
      <c r="N122" s="135"/>
      <c r="O122" s="1138" t="s">
        <v>181</v>
      </c>
      <c r="P122" s="1139"/>
      <c r="Q122" s="413"/>
      <c r="R122" s="28"/>
      <c r="S122" s="28"/>
      <c r="T122" s="414">
        <f>ROUND(T118+T120,2)</f>
        <v>3.93</v>
      </c>
      <c r="U122" s="415" t="s">
        <v>2</v>
      </c>
      <c r="V122" s="133"/>
      <c r="W122" s="133"/>
      <c r="X122" s="207"/>
      <c r="Y122" s="183"/>
    </row>
    <row r="123" spans="1:25" ht="3.75" customHeight="1">
      <c r="A123" s="135"/>
      <c r="B123" s="416"/>
      <c r="C123" s="136"/>
      <c r="D123" s="136"/>
      <c r="E123" s="136"/>
      <c r="L123" s="162"/>
      <c r="N123" s="417"/>
      <c r="O123" s="127"/>
      <c r="P123" s="127"/>
      <c r="Q123" s="127"/>
      <c r="R123" s="127"/>
      <c r="S123" s="127"/>
      <c r="T123" s="127"/>
      <c r="U123" s="127"/>
      <c r="V123" s="127"/>
      <c r="W123" s="418"/>
      <c r="X123" s="207"/>
      <c r="Y123" s="183"/>
    </row>
    <row r="124" spans="1:23" ht="12.75" hidden="1">
      <c r="A124" s="36"/>
      <c r="L124" s="162"/>
      <c r="N124" s="419"/>
      <c r="O124" s="133"/>
      <c r="P124" s="133"/>
      <c r="Q124" s="133"/>
      <c r="R124" s="133"/>
      <c r="S124" s="133"/>
      <c r="T124" s="133"/>
      <c r="U124" s="133"/>
      <c r="V124" s="133"/>
      <c r="W124" s="162"/>
    </row>
    <row r="125" spans="1:23" ht="12.75" hidden="1">
      <c r="A125" s="135" t="s">
        <v>182</v>
      </c>
      <c r="B125" s="136" t="s">
        <v>183</v>
      </c>
      <c r="C125" s="30"/>
      <c r="D125" s="30"/>
      <c r="E125" s="30"/>
      <c r="F125" s="30"/>
      <c r="G125" s="30"/>
      <c r="K125" s="138">
        <f>ROUND(D126*F126*I126,2)</f>
        <v>0</v>
      </c>
      <c r="L125" s="139" t="s">
        <v>2</v>
      </c>
      <c r="N125" s="419"/>
      <c r="O125" s="133"/>
      <c r="P125" s="133"/>
      <c r="Q125" s="133"/>
      <c r="R125" s="133"/>
      <c r="S125" s="133"/>
      <c r="T125" s="133"/>
      <c r="U125" s="133"/>
      <c r="V125" s="133"/>
      <c r="W125" s="162"/>
    </row>
    <row r="126" spans="1:23" ht="12.75" hidden="1">
      <c r="A126" s="135"/>
      <c r="B126" s="136" t="s">
        <v>184</v>
      </c>
      <c r="C126" s="30"/>
      <c r="D126" s="420">
        <f>6.97+6.97+10.85+10.85</f>
        <v>35.64</v>
      </c>
      <c r="E126" s="97" t="s">
        <v>32</v>
      </c>
      <c r="F126" s="421">
        <f>I121</f>
        <v>0.1</v>
      </c>
      <c r="G126" s="422"/>
      <c r="H126" s="419"/>
      <c r="I126" s="419"/>
      <c r="J126" s="419"/>
      <c r="K126" s="207"/>
      <c r="L126" s="183"/>
      <c r="N126" s="419"/>
      <c r="O126" s="133"/>
      <c r="P126" s="133"/>
      <c r="Q126" s="133"/>
      <c r="R126" s="133"/>
      <c r="S126" s="133"/>
      <c r="T126" s="133"/>
      <c r="U126" s="133"/>
      <c r="V126" s="133"/>
      <c r="W126" s="162"/>
    </row>
    <row r="127" spans="1:23" ht="12.75">
      <c r="A127" s="36"/>
      <c r="L127" s="162"/>
      <c r="N127" s="423"/>
      <c r="O127" s="424" t="s">
        <v>185</v>
      </c>
      <c r="P127" s="399"/>
      <c r="Q127" s="425">
        <f>Q128</f>
        <v>60.3798</v>
      </c>
      <c r="R127" s="426" t="s">
        <v>186</v>
      </c>
      <c r="S127" s="427">
        <f>I115</f>
        <v>0.05</v>
      </c>
      <c r="T127" s="426" t="s">
        <v>178</v>
      </c>
      <c r="U127" s="428"/>
      <c r="V127" s="429">
        <f>Q127*S127</f>
        <v>3.0189900000000005</v>
      </c>
      <c r="W127" s="430" t="s">
        <v>2</v>
      </c>
    </row>
    <row r="128" spans="1:23" ht="13.5" customHeight="1">
      <c r="A128" s="135" t="s">
        <v>187</v>
      </c>
      <c r="B128" s="136" t="s">
        <v>188</v>
      </c>
      <c r="C128" s="30"/>
      <c r="D128" s="30"/>
      <c r="E128" s="431">
        <f>Q128</f>
        <v>60.3798</v>
      </c>
      <c r="F128" s="97" t="s">
        <v>189</v>
      </c>
      <c r="G128" s="432">
        <f>B113</f>
        <v>0.25</v>
      </c>
      <c r="H128" s="39"/>
      <c r="I128" s="39"/>
      <c r="J128" s="354" t="s">
        <v>2</v>
      </c>
      <c r="K128" s="138">
        <f>ROUND(E128*G128,2)</f>
        <v>15.09</v>
      </c>
      <c r="L128" s="139" t="s">
        <v>2</v>
      </c>
      <c r="N128" s="433" t="s">
        <v>190</v>
      </c>
      <c r="O128" s="434" t="s">
        <v>191</v>
      </c>
      <c r="P128" s="435"/>
      <c r="Q128" s="436">
        <f>(4.39*8.82)+(2.85*7.6)</f>
        <v>60.3798</v>
      </c>
      <c r="R128" s="435" t="s">
        <v>0</v>
      </c>
      <c r="S128" s="435" t="s">
        <v>192</v>
      </c>
      <c r="T128" s="437"/>
      <c r="U128" s="438"/>
      <c r="V128" s="439"/>
      <c r="W128" s="440"/>
    </row>
    <row r="129" spans="1:12" ht="12.75">
      <c r="A129" s="135"/>
      <c r="B129" s="136" t="s">
        <v>193</v>
      </c>
      <c r="C129" s="30"/>
      <c r="H129" s="39"/>
      <c r="I129" s="39"/>
      <c r="J129" s="354" t="s">
        <v>0</v>
      </c>
      <c r="K129" s="138">
        <f>ROUND((G131*I131)+G131,2)</f>
        <v>62.19</v>
      </c>
      <c r="L129" s="139" t="s">
        <v>0</v>
      </c>
    </row>
    <row r="130" spans="1:14" ht="6.75" customHeight="1">
      <c r="A130" s="131"/>
      <c r="L130" s="441"/>
      <c r="N130" s="442"/>
    </row>
    <row r="131" spans="1:12" ht="12.75">
      <c r="A131" s="135" t="s">
        <v>194</v>
      </c>
      <c r="B131" s="443" t="s">
        <v>195</v>
      </c>
      <c r="C131" s="133" t="s">
        <v>196</v>
      </c>
      <c r="G131" s="444">
        <f>B134</f>
        <v>60.38</v>
      </c>
      <c r="H131" s="404" t="s">
        <v>189</v>
      </c>
      <c r="I131" s="445">
        <v>0.03</v>
      </c>
      <c r="K131" s="138">
        <f>ROUND((G131*I131)+G131,2)</f>
        <v>62.19</v>
      </c>
      <c r="L131" s="139" t="s">
        <v>0</v>
      </c>
    </row>
    <row r="132" spans="1:14" ht="12" customHeight="1">
      <c r="A132" s="131"/>
      <c r="L132" s="441"/>
      <c r="N132" s="442"/>
    </row>
    <row r="133" spans="1:12" ht="12.75">
      <c r="A133" s="135" t="s">
        <v>197</v>
      </c>
      <c r="B133" s="564" t="s">
        <v>267</v>
      </c>
      <c r="K133" s="138">
        <f>ROUND(F134*H134,2)</f>
        <v>201.03</v>
      </c>
      <c r="L133" s="139" t="s">
        <v>11</v>
      </c>
    </row>
    <row r="134" spans="1:12" ht="12.75">
      <c r="A134" s="446" t="s">
        <v>198</v>
      </c>
      <c r="B134" s="405">
        <f>K5</f>
        <v>60.38</v>
      </c>
      <c r="C134" s="122" t="s">
        <v>45</v>
      </c>
      <c r="D134" s="122">
        <f>F135</f>
        <v>4.26</v>
      </c>
      <c r="E134" s="422" t="s">
        <v>199</v>
      </c>
      <c r="F134" s="447">
        <f>B134+D134</f>
        <v>64.64</v>
      </c>
      <c r="G134" s="448" t="s">
        <v>32</v>
      </c>
      <c r="H134" s="405">
        <v>3.11</v>
      </c>
      <c r="I134" s="449" t="s">
        <v>200</v>
      </c>
      <c r="L134" s="450"/>
    </row>
    <row r="135" spans="1:14" ht="10.5" customHeight="1">
      <c r="A135" s="131"/>
      <c r="B135" s="451" t="s">
        <v>201</v>
      </c>
      <c r="C135" s="452" t="s">
        <v>202</v>
      </c>
      <c r="E135" s="35"/>
      <c r="F135" s="453">
        <f>ROUND(((3*2.2)*0.3)+(7.6*0.3),2)</f>
        <v>4.26</v>
      </c>
      <c r="G135" s="133" t="s">
        <v>0</v>
      </c>
      <c r="L135" s="441"/>
      <c r="N135" s="442"/>
    </row>
    <row r="136" spans="1:14" ht="10.5" customHeight="1">
      <c r="A136" s="131"/>
      <c r="C136" s="454"/>
      <c r="L136" s="441"/>
      <c r="N136" s="442"/>
    </row>
    <row r="137" spans="1:12" ht="12.75">
      <c r="A137" s="135" t="s">
        <v>203</v>
      </c>
      <c r="B137" s="133" t="s">
        <v>204</v>
      </c>
      <c r="E137" s="444">
        <f>E121</f>
        <v>31.72</v>
      </c>
      <c r="F137" s="97" t="s">
        <v>32</v>
      </c>
      <c r="G137" s="455">
        <f>J113</f>
        <v>0.1</v>
      </c>
      <c r="H137" s="32" t="s">
        <v>36</v>
      </c>
      <c r="K137" s="138">
        <f>ROUND(E137*G137,2)</f>
        <v>3.17</v>
      </c>
      <c r="L137" s="139" t="s">
        <v>0</v>
      </c>
    </row>
    <row r="138" spans="1:14" ht="10.5" customHeight="1">
      <c r="A138" s="131"/>
      <c r="L138" s="441"/>
      <c r="N138" s="442"/>
    </row>
    <row r="139" spans="1:14" ht="12.75" customHeight="1">
      <c r="A139" s="456" t="s">
        <v>205</v>
      </c>
      <c r="B139" s="1140" t="s">
        <v>206</v>
      </c>
      <c r="C139" s="1140"/>
      <c r="D139" s="1140"/>
      <c r="E139" s="1140"/>
      <c r="F139" s="1140"/>
      <c r="G139" s="1140"/>
      <c r="H139" s="1140"/>
      <c r="K139" s="138">
        <f>SUM(J141:J143)</f>
        <v>6.52</v>
      </c>
      <c r="L139" s="139" t="s">
        <v>2</v>
      </c>
      <c r="N139" s="442"/>
    </row>
    <row r="140" spans="1:14" ht="12.75" customHeight="1">
      <c r="A140" s="456" t="s">
        <v>207</v>
      </c>
      <c r="B140" s="1141" t="s">
        <v>208</v>
      </c>
      <c r="C140" s="1141"/>
      <c r="D140" s="1141"/>
      <c r="E140" s="1141"/>
      <c r="F140" s="457"/>
      <c r="K140" s="138">
        <f>K139</f>
        <v>6.52</v>
      </c>
      <c r="L140" s="139" t="s">
        <v>2</v>
      </c>
      <c r="N140" s="442"/>
    </row>
    <row r="141" spans="1:14" ht="12.75" customHeight="1">
      <c r="A141" s="456"/>
      <c r="B141" s="30" t="s">
        <v>209</v>
      </c>
      <c r="D141" s="458">
        <f>Q127</f>
        <v>60.3798</v>
      </c>
      <c r="E141" s="97" t="s">
        <v>189</v>
      </c>
      <c r="F141" s="459">
        <f>$C$113</f>
        <v>0.1</v>
      </c>
      <c r="G141" s="38"/>
      <c r="I141" s="32" t="s">
        <v>36</v>
      </c>
      <c r="J141" s="460">
        <f>ROUND(D141*F141,2)</f>
        <v>6.04</v>
      </c>
      <c r="K141" s="123" t="s">
        <v>2</v>
      </c>
      <c r="L141" s="162"/>
      <c r="N141" s="442"/>
    </row>
    <row r="142" spans="1:12" ht="10.5" customHeight="1">
      <c r="A142" s="135"/>
      <c r="B142" s="30"/>
      <c r="D142" s="39"/>
      <c r="E142" s="32"/>
      <c r="F142" s="400" t="s">
        <v>174</v>
      </c>
      <c r="G142" s="399"/>
      <c r="H142" s="400" t="s">
        <v>175</v>
      </c>
      <c r="I142" s="137"/>
      <c r="J142" s="461"/>
      <c r="K142" s="137"/>
      <c r="L142" s="162"/>
    </row>
    <row r="143" spans="1:12" ht="12.75">
      <c r="A143" s="135"/>
      <c r="B143" s="30" t="s">
        <v>210</v>
      </c>
      <c r="D143" s="458">
        <f>E121</f>
        <v>31.72</v>
      </c>
      <c r="E143" s="97" t="s">
        <v>155</v>
      </c>
      <c r="F143" s="405">
        <f>$C$116</f>
        <v>0.15</v>
      </c>
      <c r="G143" s="404" t="s">
        <v>178</v>
      </c>
      <c r="H143" s="406">
        <f>$G$117</f>
        <v>0.1</v>
      </c>
      <c r="I143" s="32" t="s">
        <v>36</v>
      </c>
      <c r="J143" s="462">
        <f>ROUND(D143*F143*H143,2)</f>
        <v>0.48</v>
      </c>
      <c r="K143" s="123" t="s">
        <v>2</v>
      </c>
      <c r="L143" s="162"/>
    </row>
    <row r="144" spans="1:12" ht="12.75">
      <c r="A144" s="135"/>
      <c r="B144" s="30"/>
      <c r="C144" s="30"/>
      <c r="D144" s="30"/>
      <c r="E144" s="30"/>
      <c r="F144" s="30"/>
      <c r="G144" s="30"/>
      <c r="H144" s="30"/>
      <c r="I144" s="30"/>
      <c r="J144" s="30"/>
      <c r="K144" s="463"/>
      <c r="L144" s="162"/>
    </row>
    <row r="145" spans="1:12" ht="12.75">
      <c r="A145" s="456" t="s">
        <v>211</v>
      </c>
      <c r="B145" s="1140" t="s">
        <v>212</v>
      </c>
      <c r="C145" s="1140"/>
      <c r="D145" s="1140"/>
      <c r="E145" s="1140"/>
      <c r="F145" s="1140"/>
      <c r="G145" s="1140"/>
      <c r="H145" s="1140"/>
      <c r="J145" s="162"/>
      <c r="K145" s="138">
        <f>K140</f>
        <v>6.52</v>
      </c>
      <c r="L145" s="139" t="s">
        <v>2</v>
      </c>
    </row>
    <row r="146" spans="1:14" ht="12.75" customHeight="1">
      <c r="A146" s="41"/>
      <c r="L146" s="162"/>
      <c r="N146" s="442"/>
    </row>
    <row r="147" spans="1:12" ht="12.75">
      <c r="A147" s="29">
        <v>3</v>
      </c>
      <c r="B147" s="132" t="s">
        <v>213</v>
      </c>
      <c r="C147" s="94"/>
      <c r="D147" s="94"/>
      <c r="E147" s="94"/>
      <c r="F147" s="94"/>
      <c r="G147" s="38"/>
      <c r="H147" s="384"/>
      <c r="J147" s="355"/>
      <c r="L147" s="183"/>
    </row>
    <row r="148" spans="1:12" ht="12.75">
      <c r="A148" s="352"/>
      <c r="B148" s="93" t="s">
        <v>214</v>
      </c>
      <c r="C148" s="464"/>
      <c r="D148" s="95" t="s">
        <v>215</v>
      </c>
      <c r="G148" s="38"/>
      <c r="H148" s="384"/>
      <c r="J148" s="355"/>
      <c r="K148" s="465"/>
      <c r="L148" s="183"/>
    </row>
    <row r="149" spans="1:12" ht="12.75">
      <c r="A149" s="352" t="s">
        <v>6</v>
      </c>
      <c r="B149" s="162" t="s">
        <v>44</v>
      </c>
      <c r="C149" s="466">
        <f>H151</f>
        <v>43.32</v>
      </c>
      <c r="D149" s="32">
        <f>0.8-0.8-0.8-0.8-0.8-0.8-1.46</f>
        <v>-4.66</v>
      </c>
      <c r="E149" s="40" t="s">
        <v>36</v>
      </c>
      <c r="F149" s="467">
        <f>C149+D149</f>
        <v>38.66</v>
      </c>
      <c r="G149" s="468" t="s">
        <v>216</v>
      </c>
      <c r="J149" s="385"/>
      <c r="K149" s="469">
        <f>ROUND(F149*0.2,2)</f>
        <v>7.73</v>
      </c>
      <c r="L149" s="470" t="s">
        <v>0</v>
      </c>
    </row>
    <row r="150" spans="1:256" s="475" customFormat="1" ht="12.75">
      <c r="A150" s="471"/>
      <c r="B150" s="472" t="s">
        <v>217</v>
      </c>
      <c r="C150" s="39"/>
      <c r="D150" s="473" t="s">
        <v>152</v>
      </c>
      <c r="E150" s="137"/>
      <c r="F150" s="35"/>
      <c r="G150" s="474"/>
      <c r="H150" s="133"/>
      <c r="I150" s="133"/>
      <c r="J150" s="133"/>
      <c r="K150" s="133"/>
      <c r="L150" s="162"/>
      <c r="M150" s="47"/>
      <c r="N150" s="47"/>
      <c r="O150" s="47"/>
      <c r="P150" s="833" t="s">
        <v>36</v>
      </c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  <c r="IQ150" s="47"/>
      <c r="IR150" s="47"/>
      <c r="IS150" s="47"/>
      <c r="IT150" s="47"/>
      <c r="IU150" s="47"/>
      <c r="IV150" s="47"/>
    </row>
    <row r="151" spans="1:256" s="475" customFormat="1" ht="12.75">
      <c r="A151" s="550"/>
      <c r="B151" s="551" t="s">
        <v>218</v>
      </c>
      <c r="C151" s="552"/>
      <c r="D151" s="551"/>
      <c r="E151" s="551"/>
      <c r="F151" s="551"/>
      <c r="G151" s="553"/>
      <c r="H151" s="554">
        <f>3.19+2.72+5.78+0.9+2.03+2.72+3.19+7.36+1.8+4.43+2.8+6.4</f>
        <v>43.32</v>
      </c>
      <c r="I151" s="555" t="s">
        <v>12</v>
      </c>
      <c r="J151" s="556"/>
      <c r="K151" s="556"/>
      <c r="L151" s="55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  <c r="HU151" s="47"/>
      <c r="HV151" s="47"/>
      <c r="HW151" s="47"/>
      <c r="HX151" s="47"/>
      <c r="HY151" s="47"/>
      <c r="HZ151" s="47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7"/>
      <c r="IQ151" s="47"/>
      <c r="IR151" s="47"/>
      <c r="IS151" s="47"/>
      <c r="IT151" s="47"/>
      <c r="IU151" s="47"/>
      <c r="IV151" s="47"/>
    </row>
    <row r="152" spans="1:256" s="475" customFormat="1" ht="12.75">
      <c r="A152" s="471"/>
      <c r="B152" s="823"/>
      <c r="C152" s="474"/>
      <c r="D152" s="823"/>
      <c r="E152" s="823"/>
      <c r="F152" s="823"/>
      <c r="G152" s="824"/>
      <c r="H152" s="825"/>
      <c r="I152" s="826"/>
      <c r="J152" s="355"/>
      <c r="K152" s="355"/>
      <c r="L152" s="82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47"/>
      <c r="IQ152" s="47"/>
      <c r="IR152" s="47"/>
      <c r="IS152" s="47"/>
      <c r="IT152" s="47"/>
      <c r="IU152" s="47"/>
      <c r="IV152" s="47"/>
    </row>
    <row r="153" spans="1:256" s="475" customFormat="1" ht="12.75">
      <c r="A153" s="29">
        <v>4</v>
      </c>
      <c r="B153" s="132" t="s">
        <v>8</v>
      </c>
      <c r="C153" s="94"/>
      <c r="D153" s="94"/>
      <c r="E153" s="94"/>
      <c r="F153" s="133"/>
      <c r="G153" s="133"/>
      <c r="H153" s="133"/>
      <c r="I153" s="133"/>
      <c r="J153" s="133"/>
      <c r="K153" s="133"/>
      <c r="L153" s="162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  <c r="HU153" s="47"/>
      <c r="HV153" s="47"/>
      <c r="HW153" s="47"/>
      <c r="HX153" s="47"/>
      <c r="HY153" s="47"/>
      <c r="HZ153" s="47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  <c r="IM153" s="47"/>
      <c r="IN153" s="47"/>
      <c r="IO153" s="47"/>
      <c r="IP153" s="47"/>
      <c r="IQ153" s="47"/>
      <c r="IR153" s="47"/>
      <c r="IS153" s="47"/>
      <c r="IT153" s="47"/>
      <c r="IU153" s="47"/>
      <c r="IV153" s="47"/>
    </row>
    <row r="154" spans="1:256" s="475" customFormat="1" ht="12.75">
      <c r="A154" s="135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62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  <c r="IT154" s="47"/>
      <c r="IU154" s="47"/>
      <c r="IV154" s="47"/>
    </row>
    <row r="155" spans="1:256" s="475" customFormat="1" ht="12.75">
      <c r="A155" s="135"/>
      <c r="B155" s="1131" t="s">
        <v>434</v>
      </c>
      <c r="C155" s="1132"/>
      <c r="D155" s="1133"/>
      <c r="E155" s="133"/>
      <c r="F155" s="133"/>
      <c r="G155" s="133"/>
      <c r="H155" s="133"/>
      <c r="I155" s="133"/>
      <c r="J155" s="133"/>
      <c r="K155" s="133"/>
      <c r="L155" s="162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  <c r="IT155" s="47"/>
      <c r="IU155" s="47"/>
      <c r="IV155" s="47"/>
    </row>
    <row r="156" spans="1:256" s="475" customFormat="1" ht="12.75">
      <c r="A156" s="135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62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  <c r="IV156" s="47"/>
    </row>
    <row r="157" spans="1:256" s="475" customFormat="1" ht="12.75">
      <c r="A157" s="29">
        <v>5</v>
      </c>
      <c r="B157" s="132" t="s">
        <v>9</v>
      </c>
      <c r="C157" s="94"/>
      <c r="D157" s="94"/>
      <c r="E157" s="133"/>
      <c r="F157" s="133"/>
      <c r="G157" s="133"/>
      <c r="H157" s="133"/>
      <c r="I157" s="133"/>
      <c r="J157" s="133"/>
      <c r="K157" s="133"/>
      <c r="L157" s="162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  <c r="IT157" s="47"/>
      <c r="IU157" s="47"/>
      <c r="IV157" s="47"/>
    </row>
    <row r="158" spans="1:256" s="475" customFormat="1" ht="12.75">
      <c r="A158" s="135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62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  <c r="IU158" s="47"/>
      <c r="IV158" s="47"/>
    </row>
    <row r="159" spans="1:256" s="475" customFormat="1" ht="12.75">
      <c r="A159" s="135"/>
      <c r="B159" s="1131" t="s">
        <v>435</v>
      </c>
      <c r="C159" s="1132"/>
      <c r="D159" s="1133"/>
      <c r="E159" s="133"/>
      <c r="F159" s="133"/>
      <c r="G159" s="133"/>
      <c r="H159" s="133"/>
      <c r="I159" s="133"/>
      <c r="J159" s="133"/>
      <c r="K159" s="133"/>
      <c r="L159" s="162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  <c r="IT159" s="47"/>
      <c r="IU159" s="47"/>
      <c r="IV159" s="47"/>
    </row>
    <row r="160" spans="1:256" s="475" customFormat="1" ht="12.75">
      <c r="A160" s="135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62"/>
      <c r="M160" s="47"/>
      <c r="N160" s="833" t="s">
        <v>438</v>
      </c>
      <c r="O160" s="47" t="s">
        <v>439</v>
      </c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  <c r="IT160" s="47"/>
      <c r="IU160" s="47"/>
      <c r="IV160" s="47"/>
    </row>
    <row r="161" spans="1:256" s="475" customFormat="1" ht="12.75">
      <c r="A161" s="29">
        <v>6</v>
      </c>
      <c r="B161" s="132" t="s">
        <v>10</v>
      </c>
      <c r="C161" s="94"/>
      <c r="D161" s="94"/>
      <c r="E161" s="133"/>
      <c r="F161" s="133"/>
      <c r="G161" s="133"/>
      <c r="H161" s="133"/>
      <c r="I161" s="133"/>
      <c r="J161" s="133"/>
      <c r="K161" s="133"/>
      <c r="L161" s="162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  <c r="IV161" s="47"/>
    </row>
    <row r="162" spans="1:256" s="475" customFormat="1" ht="12.75">
      <c r="A162" s="135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62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  <c r="IT162" s="47"/>
      <c r="IU162" s="47"/>
      <c r="IV162" s="47"/>
    </row>
    <row r="163" spans="1:256" s="475" customFormat="1" ht="12.75">
      <c r="A163" s="135"/>
      <c r="B163" s="828" t="s">
        <v>436</v>
      </c>
      <c r="C163" s="133"/>
      <c r="D163" s="829"/>
      <c r="E163" s="133"/>
      <c r="F163" s="133"/>
      <c r="G163" s="133"/>
      <c r="H163" s="133"/>
      <c r="I163" s="133"/>
      <c r="J163" s="133"/>
      <c r="K163" s="834">
        <f>60.38-3.38</f>
        <v>57</v>
      </c>
      <c r="L163" s="139" t="s">
        <v>0</v>
      </c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  <c r="IT163" s="47"/>
      <c r="IU163" s="47"/>
      <c r="IV163" s="47"/>
    </row>
    <row r="164" spans="1:256" s="475" customFormat="1" ht="12.75">
      <c r="A164" s="135"/>
      <c r="B164" s="828"/>
      <c r="C164" s="133"/>
      <c r="D164" s="829"/>
      <c r="E164" s="133"/>
      <c r="F164" s="133"/>
      <c r="G164" s="830"/>
      <c r="H164" s="831"/>
      <c r="I164" s="133"/>
      <c r="J164" s="133"/>
      <c r="K164" s="133"/>
      <c r="L164" s="162"/>
      <c r="M164" s="47"/>
      <c r="N164" s="47"/>
      <c r="O164" s="47">
        <f>38.66+3.48+17.82</f>
        <v>59.959999999999994</v>
      </c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  <c r="IT164" s="47"/>
      <c r="IU164" s="47"/>
      <c r="IV164" s="47"/>
    </row>
    <row r="165" spans="1:256" s="475" customFormat="1" ht="12.75">
      <c r="A165" s="135"/>
      <c r="B165" s="93" t="s">
        <v>214</v>
      </c>
      <c r="C165" s="464"/>
      <c r="D165" s="95" t="s">
        <v>215</v>
      </c>
      <c r="E165" s="133"/>
      <c r="F165" s="133"/>
      <c r="G165" s="38"/>
      <c r="H165" s="384"/>
      <c r="I165" s="133"/>
      <c r="J165" s="384"/>
      <c r="K165" s="133"/>
      <c r="L165" s="162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  <c r="IV165" s="47"/>
    </row>
    <row r="166" spans="1:256" s="475" customFormat="1" ht="12.75">
      <c r="A166" s="135"/>
      <c r="B166" s="162" t="s">
        <v>44</v>
      </c>
      <c r="C166" s="466">
        <f>J168</f>
        <v>43.970000000000006</v>
      </c>
      <c r="D166" s="32">
        <v>-6.39</v>
      </c>
      <c r="E166" s="40" t="s">
        <v>36</v>
      </c>
      <c r="F166" s="467">
        <f>C166+D166</f>
        <v>37.580000000000005</v>
      </c>
      <c r="G166" s="468" t="s">
        <v>437</v>
      </c>
      <c r="H166" s="133"/>
      <c r="I166" s="832" t="s">
        <v>36</v>
      </c>
      <c r="J166" s="384">
        <f>37.58*0.09</f>
        <v>3.3821999999999997</v>
      </c>
      <c r="K166" s="828" t="s">
        <v>0</v>
      </c>
      <c r="L166" s="162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  <c r="IV166" s="47"/>
    </row>
    <row r="167" spans="1:256" s="475" customFormat="1" ht="12.75">
      <c r="A167" s="135"/>
      <c r="B167" s="472" t="s">
        <v>217</v>
      </c>
      <c r="C167" s="39"/>
      <c r="D167" s="473" t="s">
        <v>152</v>
      </c>
      <c r="E167" s="137"/>
      <c r="F167" s="35"/>
      <c r="G167" s="474"/>
      <c r="H167" s="133"/>
      <c r="I167" s="133"/>
      <c r="J167" s="384"/>
      <c r="K167" s="133"/>
      <c r="L167" s="162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  <c r="IV167" s="47"/>
    </row>
    <row r="168" spans="1:256" s="475" customFormat="1" ht="24" customHeight="1">
      <c r="A168" s="135"/>
      <c r="B168" s="1134" t="s">
        <v>440</v>
      </c>
      <c r="C168" s="1134"/>
      <c r="D168" s="1134"/>
      <c r="E168" s="1134"/>
      <c r="F168" s="1134"/>
      <c r="G168" s="1134"/>
      <c r="H168" s="1134"/>
      <c r="I168" s="832" t="s">
        <v>36</v>
      </c>
      <c r="J168" s="835">
        <f>(2.13+0.34+1.59+2.21)+((0.5+2.13+0.34+1.59+2.21+0.72)*2)+((2.03+1.03+2.85)*3)+(2.03+1.03)+(0.34+1.59)</f>
        <v>43.970000000000006</v>
      </c>
      <c r="K168" s="826" t="s">
        <v>12</v>
      </c>
      <c r="L168" s="133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  <c r="IV168" s="47"/>
    </row>
    <row r="169" spans="1:256" s="475" customFormat="1" ht="12.75">
      <c r="A169" s="135"/>
      <c r="B169" s="828"/>
      <c r="C169" s="133"/>
      <c r="D169" s="133"/>
      <c r="E169" s="133"/>
      <c r="F169" s="133"/>
      <c r="G169" s="133"/>
      <c r="H169" s="133"/>
      <c r="I169" s="133"/>
      <c r="J169" s="384"/>
      <c r="K169" s="133"/>
      <c r="L169" s="162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  <c r="IV169" s="47"/>
    </row>
  </sheetData>
  <sheetProtection password="C5D3" sheet="1"/>
  <mergeCells count="38">
    <mergeCell ref="B155:D155"/>
    <mergeCell ref="B159:D159"/>
    <mergeCell ref="B168:H168"/>
    <mergeCell ref="J113:J115"/>
    <mergeCell ref="G117:G118"/>
    <mergeCell ref="O122:P122"/>
    <mergeCell ref="B139:H139"/>
    <mergeCell ref="B140:E140"/>
    <mergeCell ref="B145:H145"/>
    <mergeCell ref="B76:C76"/>
    <mergeCell ref="A79:D79"/>
    <mergeCell ref="B109:C109"/>
    <mergeCell ref="B113:B116"/>
    <mergeCell ref="C113:C115"/>
    <mergeCell ref="I113:I114"/>
    <mergeCell ref="J58:J65"/>
    <mergeCell ref="F59:F63"/>
    <mergeCell ref="I59:I63"/>
    <mergeCell ref="E61:E62"/>
    <mergeCell ref="A64:A65"/>
    <mergeCell ref="D64:F64"/>
    <mergeCell ref="D65:F65"/>
    <mergeCell ref="A35:D35"/>
    <mergeCell ref="B51:C51"/>
    <mergeCell ref="O52:P52"/>
    <mergeCell ref="S52:T52"/>
    <mergeCell ref="A57:A63"/>
    <mergeCell ref="D57:D58"/>
    <mergeCell ref="E57:E58"/>
    <mergeCell ref="F57:H57"/>
    <mergeCell ref="K57:K65"/>
    <mergeCell ref="F58:H58"/>
    <mergeCell ref="A1:L1"/>
    <mergeCell ref="B7:C7"/>
    <mergeCell ref="O8:P8"/>
    <mergeCell ref="S8:T8"/>
    <mergeCell ref="D16:F16"/>
    <mergeCell ref="B32:C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SEINFRA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marciam</dc:creator>
  <cp:keywords/>
  <dc:description/>
  <cp:lastModifiedBy>Cid Antunes da Costa Neto</cp:lastModifiedBy>
  <cp:lastPrinted>2021-03-11T16:48:24Z</cp:lastPrinted>
  <dcterms:created xsi:type="dcterms:W3CDTF">2007-10-22T14:04:31Z</dcterms:created>
  <dcterms:modified xsi:type="dcterms:W3CDTF">2021-06-08T15:59:32Z</dcterms:modified>
  <cp:category/>
  <cp:version/>
  <cp:contentType/>
  <cp:contentStatus/>
</cp:coreProperties>
</file>